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жан Амирхановна\Desktop\фин\2026 год\Папка для Динары\"/>
    </mc:Choice>
  </mc:AlternateContent>
  <xr:revisionPtr revIDLastSave="0" documentId="13_ncr:1_{E1F70C3C-9E42-484D-9CA2-FE7F295A3771}" xr6:coauthVersionLast="47" xr6:coauthVersionMax="47" xr10:uidLastSave="{00000000-0000-0000-0000-000000000000}"/>
  <bookViews>
    <workbookView xWindow="-120" yWindow="-120" windowWidth="29040" windowHeight="15840" tabRatio="908" firstSheet="2" activeTab="2" xr2:uid="{00000000-000D-0000-FFFF-FFFF00000000}"/>
  </bookViews>
  <sheets>
    <sheet name="Расчет 2023" sheetId="1" state="hidden" r:id="rId1"/>
    <sheet name="111 ФОТ 2023 147 ед." sheetId="2" state="hidden" r:id="rId2"/>
    <sheet name="план 2026г РБ" sheetId="133" r:id="rId3"/>
    <sheet name="расчет2025" sheetId="107" state="hidden" r:id="rId4"/>
    <sheet name="расчет2026" sheetId="110" state="hidden" r:id="rId5"/>
    <sheet name="расчет2027" sheetId="111" state="hidden" r:id="rId6"/>
    <sheet name="Штат 350 % " sheetId="93" state="hidden" r:id="rId7"/>
    <sheet name="111" sheetId="42" state="hidden" r:id="rId8"/>
    <sheet name="123 трансп  " sheetId="4" state="hidden" r:id="rId9"/>
    <sheet name="123 пассаж" sheetId="44" state="hidden" r:id="rId10"/>
    <sheet name="142 медикаменты" sheetId="127" state="hidden" r:id="rId11"/>
    <sheet name="144 ГСМ " sheetId="6" state="hidden" r:id="rId12"/>
    <sheet name="149 экипировка 2023" sheetId="7" state="hidden" r:id="rId13"/>
    <sheet name="149 хоз.товар " sheetId="118" state="hidden" r:id="rId14"/>
    <sheet name="149 экипировка" sheetId="126" state="hidden" r:id="rId15"/>
    <sheet name="161 команд" sheetId="13" state="hidden" r:id="rId16"/>
    <sheet name="169 спортсм" sheetId="14" state="hidden" r:id="rId17"/>
    <sheet name="ФК 169 посл.вар. общий" sheetId="70" state="hidden" r:id="rId18"/>
    <sheet name="151 ком.услуги(2025)" sheetId="129" state="hidden" r:id="rId19"/>
    <sheet name="151 ком.услуги(2026)" sheetId="131" state="hidden" r:id="rId20"/>
    <sheet name="151 ком.услуги(2027)" sheetId="132" state="hidden" r:id="rId21"/>
    <sheet name="159 услуги " sheetId="22" state="hidden" r:id="rId22"/>
    <sheet name="страхжизни 192 ед." sheetId="41" state="hidden" r:id="rId23"/>
    <sheet name="169 ТРЕНЕР2024" sheetId="59" state="hidden" r:id="rId24"/>
    <sheet name="169 СПОРТ2024" sheetId="60" state="hidden" r:id="rId25"/>
    <sheet name="169 налог транс" sheetId="15" state="hidden" r:id="rId26"/>
    <sheet name="169 эмиссия " sheetId="21" state="hidden" r:id="rId27"/>
    <sheet name="169 налог на имущ" sheetId="16" state="hidden" r:id="rId28"/>
    <sheet name="фин календарь 2025 тренера" sheetId="120" state="hidden" r:id="rId29"/>
    <sheet name="фин календарь 2025 спортсмены" sheetId="121" state="hidden" r:id="rId30"/>
    <sheet name="фин календарь 2026  тренера" sheetId="122" state="hidden" r:id="rId31"/>
    <sheet name="фин календарь 2026 спортсмены" sheetId="123" state="hidden" r:id="rId32"/>
    <sheet name="фин календарь 2027 тренера" sheetId="124" state="hidden" r:id="rId33"/>
    <sheet name="фин календарь 2027 спортсмены" sheetId="125" state="hidden" r:id="rId34"/>
  </sheets>
  <externalReferences>
    <externalReference r:id="rId35"/>
  </externalReferences>
  <definedNames>
    <definedName name="_xlnm.Print_Area" localSheetId="1">'111 ФОТ 2023 147 ед.'!$A$1:$AI$121</definedName>
    <definedName name="_xlnm.Print_Area" localSheetId="9">'123 пассаж'!$A$1:$G$27</definedName>
    <definedName name="_xlnm.Print_Area" localSheetId="8">'123 трансп  '!$A$1:$Y$32</definedName>
    <definedName name="_xlnm.Print_Area" localSheetId="10">'142 медикаменты'!$A$1:$G$132</definedName>
    <definedName name="_xlnm.Print_Area" localSheetId="11">'144 ГСМ '!$A$1:$L$30</definedName>
    <definedName name="_xlnm.Print_Area" localSheetId="13">'149 хоз.товар '!$A$1:$F$144</definedName>
    <definedName name="_xlnm.Print_Area" localSheetId="14">'149 экипировка'!$A$1:$F$23</definedName>
    <definedName name="_xlnm.Print_Area" localSheetId="12">'149 экипировка 2023'!$A$1:$F$23</definedName>
    <definedName name="_xlnm.Print_Area" localSheetId="18">'151 ком.услуги(2025)'!$A$1:$M$32</definedName>
    <definedName name="_xlnm.Print_Area" localSheetId="19">'151 ком.услуги(2026)'!$A$1:$H$28</definedName>
    <definedName name="_xlnm.Print_Area" localSheetId="20">'151 ком.услуги(2027)'!$A$1:$H$28</definedName>
    <definedName name="_xlnm.Print_Area" localSheetId="21">'159 услуги '!$A$1:$F$25</definedName>
    <definedName name="_xlnm.Print_Area" localSheetId="15">'161 команд'!$A$1:$AE$111</definedName>
    <definedName name="_xlnm.Print_Area" localSheetId="27">'169 налог на имущ'!$A$1:$G$39</definedName>
    <definedName name="_xlnm.Print_Area" localSheetId="25">'169 налог транс'!$A$1:$N$20</definedName>
    <definedName name="_xlnm.Print_Area" localSheetId="24">'169 СПОРТ2024'!$A$1:$AE$139</definedName>
    <definedName name="_xlnm.Print_Area" localSheetId="16">'169 спортсм'!$A$1:$AE$131</definedName>
    <definedName name="_xlnm.Print_Area" localSheetId="23">'169 ТРЕНЕР2024'!$A$1:$AE$126</definedName>
    <definedName name="_xlnm.Print_Area" localSheetId="26">'169 эмиссия '!$A$1:$E$17</definedName>
    <definedName name="_xlnm.Print_Area" localSheetId="0">'Расчет 2023'!$A$1:$C$45</definedName>
    <definedName name="_xlnm.Print_Area" localSheetId="3">расчет2025!$A$1:$C$50</definedName>
    <definedName name="_xlnm.Print_Area" localSheetId="4">расчет2026!$A$1:$C$46</definedName>
    <definedName name="_xlnm.Print_Area" localSheetId="5">расчет2027!$A$1:$C$46</definedName>
    <definedName name="_xlnm.Print_Area" localSheetId="22">'страхжизни 192 ед.'!$A$1:$D$18</definedName>
    <definedName name="_xlnm.Print_Area" localSheetId="29">'фин календарь 2025 спортсмены'!$A$1:$AB$90</definedName>
    <definedName name="_xlnm.Print_Area" localSheetId="28">'фин календарь 2025 тренера'!$A$1:$AB$90</definedName>
    <definedName name="_xlnm.Print_Area" localSheetId="30">'фин календарь 2026  тренера'!$A$1:$AB$91</definedName>
    <definedName name="_xlnm.Print_Area" localSheetId="31">'фин календарь 2026 спортсмены'!$A$1:$AB$91</definedName>
    <definedName name="_xlnm.Print_Area" localSheetId="33">'фин календарь 2027 спортсмены'!$A$1:$AB$91</definedName>
    <definedName name="_xlnm.Print_Area" localSheetId="32">'фин календарь 2027 тренера'!$A$1:$AB$91</definedName>
    <definedName name="_xlnm.Print_Area" localSheetId="17">'ФК 169 посл.вар. общий'!$A$1:$AE$139</definedName>
    <definedName name="_xlnm.Print_Area" localSheetId="6">'Штат 350 %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33" l="1"/>
  <c r="D35" i="107" l="1"/>
  <c r="D32" i="107"/>
  <c r="M22" i="129"/>
  <c r="M21" i="129"/>
  <c r="M15" i="129"/>
  <c r="M8" i="129"/>
  <c r="H21" i="129"/>
  <c r="K20" i="129"/>
  <c r="F20" i="129"/>
  <c r="G20" i="129" s="1"/>
  <c r="G21" i="129" s="1"/>
  <c r="R15" i="129"/>
  <c r="K14" i="129"/>
  <c r="D14" i="129"/>
  <c r="F14" i="129" s="1"/>
  <c r="H8" i="129"/>
  <c r="K7" i="129"/>
  <c r="E7" i="129"/>
  <c r="G7" i="129" s="1"/>
  <c r="K6" i="129"/>
  <c r="E6" i="129"/>
  <c r="G6" i="129" s="1"/>
  <c r="L14" i="129" l="1"/>
  <c r="G15" i="129"/>
  <c r="P16" i="129"/>
  <c r="L7" i="129"/>
  <c r="G8" i="129"/>
  <c r="G22" i="129" s="1"/>
  <c r="L6" i="129"/>
  <c r="L20" i="129"/>
  <c r="L21" i="129" s="1"/>
  <c r="L8" i="129" l="1"/>
  <c r="L22" i="129" s="1"/>
  <c r="C39" i="107" l="1"/>
  <c r="C24" i="107" l="1"/>
  <c r="C23" i="107"/>
  <c r="C22" i="107"/>
  <c r="F14" i="126"/>
  <c r="F13" i="126"/>
  <c r="F12" i="126"/>
  <c r="F11" i="126"/>
  <c r="F10" i="126"/>
  <c r="F9" i="126"/>
  <c r="F8" i="126"/>
  <c r="F7" i="126"/>
  <c r="F6" i="126"/>
  <c r="F15" i="126" s="1"/>
  <c r="C20" i="107" l="1"/>
  <c r="F6" i="118"/>
  <c r="F7" i="118"/>
  <c r="F8" i="118"/>
  <c r="F9" i="118"/>
  <c r="F10" i="118"/>
  <c r="F11" i="118"/>
  <c r="F12" i="118"/>
  <c r="F13" i="118"/>
  <c r="F14" i="118"/>
  <c r="F15" i="118"/>
  <c r="F16" i="118"/>
  <c r="F17" i="118"/>
  <c r="F18" i="118"/>
  <c r="F19" i="118"/>
  <c r="F20" i="118"/>
  <c r="F21" i="118"/>
  <c r="F22" i="118"/>
  <c r="F23" i="118"/>
  <c r="F24" i="118"/>
  <c r="F25" i="118"/>
  <c r="F26" i="118"/>
  <c r="F27" i="118"/>
  <c r="F28" i="118"/>
  <c r="F29" i="118"/>
  <c r="F30" i="118"/>
  <c r="F31" i="118"/>
  <c r="F32" i="118"/>
  <c r="F33" i="118"/>
  <c r="F34" i="118"/>
  <c r="F35" i="118"/>
  <c r="F36" i="118"/>
  <c r="F37" i="118"/>
  <c r="F38" i="118"/>
  <c r="F39" i="118"/>
  <c r="F40" i="118"/>
  <c r="F41" i="118"/>
  <c r="F42" i="118"/>
  <c r="F43" i="118"/>
  <c r="F44" i="118"/>
  <c r="F45" i="118"/>
  <c r="F46" i="118"/>
  <c r="F47" i="118"/>
  <c r="F48" i="118"/>
  <c r="F49" i="118"/>
  <c r="F50" i="118"/>
  <c r="F51" i="118"/>
  <c r="F52" i="118"/>
  <c r="F53" i="118"/>
  <c r="F54" i="118"/>
  <c r="F55" i="118"/>
  <c r="F56" i="118"/>
  <c r="F57" i="118"/>
  <c r="F58" i="118"/>
  <c r="F59" i="118"/>
  <c r="F60" i="118"/>
  <c r="F61" i="118"/>
  <c r="F62" i="118"/>
  <c r="F63" i="118"/>
  <c r="F64" i="118"/>
  <c r="F65" i="118"/>
  <c r="F66" i="118"/>
  <c r="F67" i="118"/>
  <c r="F68" i="118"/>
  <c r="F69" i="118"/>
  <c r="F70" i="118"/>
  <c r="F71" i="118"/>
  <c r="F72" i="118"/>
  <c r="F73" i="118"/>
  <c r="F74" i="118"/>
  <c r="F75" i="118"/>
  <c r="F76" i="118"/>
  <c r="F77" i="118"/>
  <c r="F78" i="118"/>
  <c r="F79" i="118"/>
  <c r="F80" i="118"/>
  <c r="F81" i="118"/>
  <c r="F82" i="118"/>
  <c r="F83" i="118"/>
  <c r="F84" i="118"/>
  <c r="F85" i="118"/>
  <c r="F86" i="118"/>
  <c r="F87" i="118"/>
  <c r="F88" i="118"/>
  <c r="F89" i="118"/>
  <c r="F90" i="118"/>
  <c r="F91" i="118"/>
  <c r="F92" i="118"/>
  <c r="F93" i="118"/>
  <c r="F94" i="118"/>
  <c r="F95" i="118"/>
  <c r="F96" i="118"/>
  <c r="F97" i="118"/>
  <c r="F98" i="118"/>
  <c r="F99" i="118"/>
  <c r="F100" i="118"/>
  <c r="F101" i="118"/>
  <c r="F102" i="118"/>
  <c r="F103" i="118"/>
  <c r="F104" i="118"/>
  <c r="F105" i="118"/>
  <c r="F106" i="118"/>
  <c r="F107" i="118"/>
  <c r="F108" i="118"/>
  <c r="F109" i="118"/>
  <c r="F110" i="118"/>
  <c r="F111" i="118"/>
  <c r="F112" i="118"/>
  <c r="F113" i="118"/>
  <c r="F114" i="118"/>
  <c r="F115" i="118"/>
  <c r="F116" i="118"/>
  <c r="F117" i="118"/>
  <c r="F118" i="118"/>
  <c r="F119" i="118"/>
  <c r="F120" i="118"/>
  <c r="F121" i="118"/>
  <c r="F122" i="118"/>
  <c r="F123" i="118"/>
  <c r="F124" i="118"/>
  <c r="F125" i="118"/>
  <c r="F126" i="118"/>
  <c r="F127" i="118"/>
  <c r="F128" i="118"/>
  <c r="F129" i="118"/>
  <c r="F130" i="118"/>
  <c r="F131" i="118"/>
  <c r="F132" i="118"/>
  <c r="F133" i="118"/>
  <c r="F134" i="118"/>
  <c r="F135" i="118"/>
  <c r="F136" i="118"/>
  <c r="F5" i="118"/>
  <c r="F15" i="22"/>
  <c r="F14" i="22" l="1"/>
  <c r="V89" i="124" l="1"/>
  <c r="V90" i="124"/>
  <c r="V88" i="124"/>
  <c r="M88" i="121" l="1"/>
  <c r="M89" i="121"/>
  <c r="M87" i="121"/>
  <c r="C29" i="107"/>
  <c r="F12" i="22"/>
  <c r="AC62" i="93" l="1"/>
  <c r="D14" i="132"/>
  <c r="F14" i="132" s="1"/>
  <c r="G15" i="132" s="1"/>
  <c r="F20" i="132"/>
  <c r="G20" i="132" s="1"/>
  <c r="H21" i="132" s="1"/>
  <c r="K15" i="132"/>
  <c r="E7" i="132"/>
  <c r="G7" i="132" s="1"/>
  <c r="E6" i="132"/>
  <c r="G6" i="132" s="1"/>
  <c r="C9" i="111"/>
  <c r="D10" i="111"/>
  <c r="D13" i="111"/>
  <c r="D12" i="111"/>
  <c r="D11" i="111"/>
  <c r="G10" i="107"/>
  <c r="D10" i="110"/>
  <c r="C23" i="111"/>
  <c r="D14" i="131"/>
  <c r="F14" i="131" s="1"/>
  <c r="G15" i="131" s="1"/>
  <c r="F20" i="131"/>
  <c r="G20" i="131" s="1"/>
  <c r="H21" i="131" s="1"/>
  <c r="K15" i="131"/>
  <c r="E7" i="131"/>
  <c r="G7" i="131" s="1"/>
  <c r="E6" i="131"/>
  <c r="G6" i="131" s="1"/>
  <c r="G8" i="132" l="1"/>
  <c r="G8" i="131"/>
  <c r="H22" i="132"/>
  <c r="H22" i="131"/>
  <c r="C23" i="110"/>
  <c r="C21" i="110" s="1"/>
  <c r="H22" i="107"/>
  <c r="G23" i="107" l="1"/>
  <c r="C6" i="107" l="1"/>
  <c r="C9" i="107"/>
  <c r="C18" i="107"/>
  <c r="C21" i="107"/>
  <c r="C25" i="107"/>
  <c r="C30" i="107"/>
  <c r="G13" i="107" l="1"/>
  <c r="G7" i="107"/>
  <c r="G11" i="107" s="1"/>
  <c r="G12" i="107" l="1"/>
  <c r="Z20" i="120" l="1"/>
  <c r="Z13" i="120"/>
  <c r="D7" i="110" l="1"/>
  <c r="D13" i="110"/>
  <c r="D11" i="110" l="1"/>
  <c r="D12" i="110"/>
  <c r="E8" i="22"/>
  <c r="F6" i="22"/>
  <c r="G12" i="44"/>
  <c r="F12" i="44"/>
  <c r="E12" i="44"/>
  <c r="Y9" i="4"/>
  <c r="Y8" i="4"/>
  <c r="X9" i="4"/>
  <c r="X8" i="4"/>
  <c r="W9" i="4"/>
  <c r="W8" i="4"/>
  <c r="Y14" i="125"/>
  <c r="Z14" i="125"/>
  <c r="Y40" i="121"/>
  <c r="Z83" i="124"/>
  <c r="Y83" i="124"/>
  <c r="W83" i="124"/>
  <c r="U83" i="124"/>
  <c r="R83" i="124"/>
  <c r="S83" i="124" s="1"/>
  <c r="Z82" i="124"/>
  <c r="Y82" i="124"/>
  <c r="W82" i="124"/>
  <c r="U82" i="124"/>
  <c r="R82" i="124"/>
  <c r="S82" i="124" s="1"/>
  <c r="W81" i="124"/>
  <c r="AA81" i="124" s="1"/>
  <c r="Z78" i="124"/>
  <c r="Y78" i="124"/>
  <c r="W78" i="124"/>
  <c r="U78" i="124"/>
  <c r="R78" i="124"/>
  <c r="S78" i="124" s="1"/>
  <c r="Y77" i="124"/>
  <c r="W77" i="124"/>
  <c r="U77" i="124"/>
  <c r="R77" i="124"/>
  <c r="S77" i="124" s="1"/>
  <c r="Z76" i="124"/>
  <c r="Z79" i="124" s="1"/>
  <c r="Y76" i="124"/>
  <c r="W76" i="124"/>
  <c r="U76" i="124"/>
  <c r="R76" i="124"/>
  <c r="S76" i="124" s="1"/>
  <c r="Z74" i="124"/>
  <c r="Z73" i="124"/>
  <c r="Y73" i="124"/>
  <c r="Y74" i="124" s="1"/>
  <c r="W73" i="124"/>
  <c r="U73" i="124"/>
  <c r="U74" i="124" s="1"/>
  <c r="R73" i="124"/>
  <c r="S73" i="124" s="1"/>
  <c r="W72" i="124"/>
  <c r="AA72" i="124" s="1"/>
  <c r="W71" i="124"/>
  <c r="Z69" i="124"/>
  <c r="Y68" i="124"/>
  <c r="W68" i="124"/>
  <c r="U68" i="124"/>
  <c r="AA68" i="124" s="1"/>
  <c r="S68" i="124"/>
  <c r="R68" i="124"/>
  <c r="Y67" i="124"/>
  <c r="W67" i="124"/>
  <c r="U67" i="124"/>
  <c r="R67" i="124"/>
  <c r="S67" i="124" s="1"/>
  <c r="W66" i="124"/>
  <c r="Z63" i="124"/>
  <c r="Y63" i="124"/>
  <c r="W63" i="124"/>
  <c r="U63" i="124"/>
  <c r="R63" i="124"/>
  <c r="S63" i="124" s="1"/>
  <c r="W62" i="124"/>
  <c r="AA62" i="124" s="1"/>
  <c r="Z61" i="124"/>
  <c r="Y61" i="124"/>
  <c r="W61" i="124"/>
  <c r="U61" i="124"/>
  <c r="R61" i="124"/>
  <c r="S61" i="124" s="1"/>
  <c r="W60" i="124"/>
  <c r="AA60" i="124" s="1"/>
  <c r="W59" i="124"/>
  <c r="AA59" i="124" s="1"/>
  <c r="Y56" i="124"/>
  <c r="W56" i="124"/>
  <c r="U56" i="124"/>
  <c r="R56" i="124"/>
  <c r="S56" i="124" s="1"/>
  <c r="Z55" i="124"/>
  <c r="Y55" i="124"/>
  <c r="W55" i="124"/>
  <c r="U55" i="124"/>
  <c r="R55" i="124"/>
  <c r="S55" i="124" s="1"/>
  <c r="W54" i="124"/>
  <c r="AA54" i="124" s="1"/>
  <c r="Z53" i="124"/>
  <c r="Y53" i="124"/>
  <c r="Y57" i="124" s="1"/>
  <c r="W53" i="124"/>
  <c r="U53" i="124"/>
  <c r="R53" i="124"/>
  <c r="S53" i="124" s="1"/>
  <c r="W52" i="124"/>
  <c r="AA52" i="124" s="1"/>
  <c r="W49" i="124"/>
  <c r="AA49" i="124" s="1"/>
  <c r="W48" i="124"/>
  <c r="AA48" i="124" s="1"/>
  <c r="Z47" i="124"/>
  <c r="Z50" i="124" s="1"/>
  <c r="Y47" i="124"/>
  <c r="W47" i="124"/>
  <c r="U47" i="124"/>
  <c r="R47" i="124"/>
  <c r="S47" i="124" s="1"/>
  <c r="Z46" i="124"/>
  <c r="Y46" i="124"/>
  <c r="W46" i="124"/>
  <c r="U46" i="124"/>
  <c r="R46" i="124"/>
  <c r="S46" i="124" s="1"/>
  <c r="S50" i="124" s="1"/>
  <c r="W43" i="124"/>
  <c r="AA43" i="124" s="1"/>
  <c r="Z42" i="124"/>
  <c r="Y42" i="124"/>
  <c r="W42" i="124"/>
  <c r="U42" i="124"/>
  <c r="R42" i="124"/>
  <c r="S42" i="124" s="1"/>
  <c r="Y41" i="124"/>
  <c r="W41" i="124"/>
  <c r="U41" i="124"/>
  <c r="R41" i="124"/>
  <c r="S41" i="124" s="1"/>
  <c r="Z40" i="124"/>
  <c r="Y40" i="124"/>
  <c r="W40" i="124"/>
  <c r="U40" i="124"/>
  <c r="R40" i="124"/>
  <c r="S40" i="124" s="1"/>
  <c r="Y39" i="124"/>
  <c r="Y44" i="124" s="1"/>
  <c r="W39" i="124"/>
  <c r="U39" i="124"/>
  <c r="R39" i="124"/>
  <c r="S39" i="124" s="1"/>
  <c r="Z36" i="124"/>
  <c r="Y36" i="124"/>
  <c r="W36" i="124"/>
  <c r="U36" i="124"/>
  <c r="R36" i="124"/>
  <c r="S36" i="124" s="1"/>
  <c r="W35" i="124"/>
  <c r="AA35" i="124" s="1"/>
  <c r="Y34" i="124"/>
  <c r="W34" i="124"/>
  <c r="U34" i="124"/>
  <c r="S34" i="124"/>
  <c r="Z33" i="124"/>
  <c r="Z37" i="124" s="1"/>
  <c r="Y33" i="124"/>
  <c r="W33" i="124"/>
  <c r="U33" i="124"/>
  <c r="R33" i="124"/>
  <c r="S33" i="124" s="1"/>
  <c r="Y32" i="124"/>
  <c r="W32" i="124"/>
  <c r="U32" i="124"/>
  <c r="R32" i="124"/>
  <c r="S32" i="124" s="1"/>
  <c r="W31" i="124"/>
  <c r="AA31" i="124" s="1"/>
  <c r="Z28" i="124"/>
  <c r="Y28" i="124"/>
  <c r="W28" i="124"/>
  <c r="U28" i="124"/>
  <c r="R28" i="124"/>
  <c r="S28" i="124" s="1"/>
  <c r="W27" i="124"/>
  <c r="AA27" i="124" s="1"/>
  <c r="W26" i="124"/>
  <c r="AA26" i="124" s="1"/>
  <c r="Z25" i="124"/>
  <c r="Z29" i="124" s="1"/>
  <c r="Y25" i="124"/>
  <c r="W25" i="124"/>
  <c r="U25" i="124"/>
  <c r="R25" i="124"/>
  <c r="S25" i="124" s="1"/>
  <c r="W24" i="124"/>
  <c r="AA24" i="124" s="1"/>
  <c r="Y23" i="124"/>
  <c r="W23" i="124"/>
  <c r="U23" i="124"/>
  <c r="R23" i="124"/>
  <c r="S23" i="124" s="1"/>
  <c r="Z20" i="124"/>
  <c r="Z21" i="124" s="1"/>
  <c r="Y20" i="124"/>
  <c r="Y21" i="124" s="1"/>
  <c r="W20" i="124"/>
  <c r="U20" i="124"/>
  <c r="R20" i="124"/>
  <c r="S20" i="124" s="1"/>
  <c r="W19" i="124"/>
  <c r="AA19" i="124" s="1"/>
  <c r="W18" i="124"/>
  <c r="AA18" i="124" s="1"/>
  <c r="Y17" i="124"/>
  <c r="W17" i="124"/>
  <c r="U17" i="124"/>
  <c r="R17" i="124"/>
  <c r="S17" i="124" s="1"/>
  <c r="Z14" i="124"/>
  <c r="Y14" i="124"/>
  <c r="W14" i="124"/>
  <c r="U14" i="124"/>
  <c r="R14" i="124"/>
  <c r="S14" i="124" s="1"/>
  <c r="Z13" i="124"/>
  <c r="Y13" i="124"/>
  <c r="W13" i="124"/>
  <c r="U13" i="124"/>
  <c r="R13" i="124"/>
  <c r="S13" i="124" s="1"/>
  <c r="Y12" i="124"/>
  <c r="W12" i="124"/>
  <c r="U12" i="124"/>
  <c r="R12" i="124"/>
  <c r="S12" i="124" s="1"/>
  <c r="Y11" i="124"/>
  <c r="W11" i="124"/>
  <c r="W15" i="124" s="1"/>
  <c r="U11" i="124"/>
  <c r="R11" i="124"/>
  <c r="S11" i="124" s="1"/>
  <c r="Z83" i="122"/>
  <c r="Y83" i="122"/>
  <c r="W83" i="122"/>
  <c r="U83" i="122"/>
  <c r="R83" i="122"/>
  <c r="S83" i="122" s="1"/>
  <c r="Z82" i="122"/>
  <c r="Z84" i="122" s="1"/>
  <c r="Y82" i="122"/>
  <c r="W82" i="122"/>
  <c r="U82" i="122"/>
  <c r="R82" i="122"/>
  <c r="S82" i="122" s="1"/>
  <c r="W81" i="122"/>
  <c r="AA81" i="122" s="1"/>
  <c r="Z78" i="122"/>
  <c r="Y78" i="122"/>
  <c r="W78" i="122"/>
  <c r="U78" i="122"/>
  <c r="R78" i="122"/>
  <c r="S78" i="122" s="1"/>
  <c r="Y77" i="122"/>
  <c r="W77" i="122"/>
  <c r="U77" i="122"/>
  <c r="R77" i="122"/>
  <c r="S77" i="122" s="1"/>
  <c r="Z76" i="122"/>
  <c r="Y76" i="122"/>
  <c r="W76" i="122"/>
  <c r="U76" i="122"/>
  <c r="R76" i="122"/>
  <c r="S76" i="122" s="1"/>
  <c r="Z73" i="122"/>
  <c r="Z74" i="122" s="1"/>
  <c r="Y73" i="122"/>
  <c r="Y74" i="122" s="1"/>
  <c r="W73" i="122"/>
  <c r="U73" i="122"/>
  <c r="U74" i="122" s="1"/>
  <c r="R73" i="122"/>
  <c r="S73" i="122" s="1"/>
  <c r="S74" i="122" s="1"/>
  <c r="W72" i="122"/>
  <c r="AA72" i="122" s="1"/>
  <c r="W71" i="122"/>
  <c r="Z69" i="122"/>
  <c r="Y68" i="122"/>
  <c r="W68" i="122"/>
  <c r="U68" i="122"/>
  <c r="R68" i="122"/>
  <c r="S68" i="122" s="1"/>
  <c r="Y67" i="122"/>
  <c r="W67" i="122"/>
  <c r="U67" i="122"/>
  <c r="R67" i="122"/>
  <c r="S67" i="122" s="1"/>
  <c r="W66" i="122"/>
  <c r="Z63" i="122"/>
  <c r="Y63" i="122"/>
  <c r="W63" i="122"/>
  <c r="U63" i="122"/>
  <c r="R63" i="122"/>
  <c r="S63" i="122" s="1"/>
  <c r="W62" i="122"/>
  <c r="AA62" i="122" s="1"/>
  <c r="Z61" i="122"/>
  <c r="Z64" i="122" s="1"/>
  <c r="Y61" i="122"/>
  <c r="W61" i="122"/>
  <c r="U61" i="122"/>
  <c r="R61" i="122"/>
  <c r="S61" i="122" s="1"/>
  <c r="W60" i="122"/>
  <c r="AA60" i="122" s="1"/>
  <c r="W59" i="122"/>
  <c r="Y56" i="122"/>
  <c r="W56" i="122"/>
  <c r="U56" i="122"/>
  <c r="R56" i="122"/>
  <c r="S56" i="122" s="1"/>
  <c r="Z55" i="122"/>
  <c r="Y55" i="122"/>
  <c r="W55" i="122"/>
  <c r="U55" i="122"/>
  <c r="R55" i="122"/>
  <c r="S55" i="122" s="1"/>
  <c r="W54" i="122"/>
  <c r="AA54" i="122" s="1"/>
  <c r="Z53" i="122"/>
  <c r="Z57" i="122" s="1"/>
  <c r="Y53" i="122"/>
  <c r="Y57" i="122" s="1"/>
  <c r="W53" i="122"/>
  <c r="U53" i="122"/>
  <c r="R53" i="122"/>
  <c r="S53" i="122" s="1"/>
  <c r="W52" i="122"/>
  <c r="W49" i="122"/>
  <c r="AA49" i="122" s="1"/>
  <c r="W48" i="122"/>
  <c r="AA48" i="122" s="1"/>
  <c r="Z47" i="122"/>
  <c r="Y47" i="122"/>
  <c r="W47" i="122"/>
  <c r="U47" i="122"/>
  <c r="R47" i="122"/>
  <c r="S47" i="122" s="1"/>
  <c r="Z46" i="122"/>
  <c r="Z50" i="122" s="1"/>
  <c r="Y46" i="122"/>
  <c r="Y50" i="122" s="1"/>
  <c r="W46" i="122"/>
  <c r="U46" i="122"/>
  <c r="R46" i="122"/>
  <c r="S46" i="122" s="1"/>
  <c r="W43" i="122"/>
  <c r="AA43" i="122" s="1"/>
  <c r="Z42" i="122"/>
  <c r="Y42" i="122"/>
  <c r="W42" i="122"/>
  <c r="U42" i="122"/>
  <c r="R42" i="122"/>
  <c r="S42" i="122" s="1"/>
  <c r="Y41" i="122"/>
  <c r="W41" i="122"/>
  <c r="U41" i="122"/>
  <c r="R41" i="122"/>
  <c r="S41" i="122" s="1"/>
  <c r="Z40" i="122"/>
  <c r="Z44" i="122" s="1"/>
  <c r="Y40" i="122"/>
  <c r="W40" i="122"/>
  <c r="U40" i="122"/>
  <c r="R40" i="122"/>
  <c r="S40" i="122" s="1"/>
  <c r="Y39" i="122"/>
  <c r="W39" i="122"/>
  <c r="U39" i="122"/>
  <c r="R39" i="122"/>
  <c r="S39" i="122" s="1"/>
  <c r="Z36" i="122"/>
  <c r="Y36" i="122"/>
  <c r="W36" i="122"/>
  <c r="U36" i="122"/>
  <c r="R36" i="122"/>
  <c r="S36" i="122" s="1"/>
  <c r="AA35" i="122"/>
  <c r="W35" i="122"/>
  <c r="Y34" i="122"/>
  <c r="W34" i="122"/>
  <c r="U34" i="122"/>
  <c r="S34" i="122"/>
  <c r="Z33" i="122"/>
  <c r="Y33" i="122"/>
  <c r="W33" i="122"/>
  <c r="U33" i="122"/>
  <c r="R33" i="122"/>
  <c r="S33" i="122" s="1"/>
  <c r="Y32" i="122"/>
  <c r="W32" i="122"/>
  <c r="U32" i="122"/>
  <c r="R32" i="122"/>
  <c r="S32" i="122" s="1"/>
  <c r="W31" i="122"/>
  <c r="AA31" i="122" s="1"/>
  <c r="Z28" i="122"/>
  <c r="Z29" i="122" s="1"/>
  <c r="Y28" i="122"/>
  <c r="W28" i="122"/>
  <c r="U28" i="122"/>
  <c r="R28" i="122"/>
  <c r="S28" i="122" s="1"/>
  <c r="W27" i="122"/>
  <c r="AA27" i="122" s="1"/>
  <c r="W26" i="122"/>
  <c r="AA26" i="122" s="1"/>
  <c r="Z25" i="122"/>
  <c r="Y25" i="122"/>
  <c r="W25" i="122"/>
  <c r="U25" i="122"/>
  <c r="R25" i="122"/>
  <c r="S25" i="122" s="1"/>
  <c r="W24" i="122"/>
  <c r="AA24" i="122" s="1"/>
  <c r="Y23" i="122"/>
  <c r="W23" i="122"/>
  <c r="U23" i="122"/>
  <c r="R23" i="122"/>
  <c r="S23" i="122" s="1"/>
  <c r="Z20" i="122"/>
  <c r="Z21" i="122" s="1"/>
  <c r="Y20" i="122"/>
  <c r="W20" i="122"/>
  <c r="U20" i="122"/>
  <c r="R20" i="122"/>
  <c r="S20" i="122" s="1"/>
  <c r="W19" i="122"/>
  <c r="AA19" i="122" s="1"/>
  <c r="W18" i="122"/>
  <c r="AA18" i="122" s="1"/>
  <c r="Y17" i="122"/>
  <c r="W17" i="122"/>
  <c r="U17" i="122"/>
  <c r="R17" i="122"/>
  <c r="S17" i="122" s="1"/>
  <c r="Z14" i="122"/>
  <c r="Y14" i="122"/>
  <c r="W14" i="122"/>
  <c r="U14" i="122"/>
  <c r="R14" i="122"/>
  <c r="S14" i="122" s="1"/>
  <c r="Z13" i="122"/>
  <c r="Y13" i="122"/>
  <c r="W13" i="122"/>
  <c r="U13" i="122"/>
  <c r="R13" i="122"/>
  <c r="S13" i="122" s="1"/>
  <c r="Y12" i="122"/>
  <c r="W12" i="122"/>
  <c r="U12" i="122"/>
  <c r="R12" i="122"/>
  <c r="S12" i="122" s="1"/>
  <c r="Y11" i="122"/>
  <c r="W11" i="122"/>
  <c r="U11" i="122"/>
  <c r="R11" i="122"/>
  <c r="S11" i="122" s="1"/>
  <c r="U25" i="121"/>
  <c r="T17" i="120"/>
  <c r="U17" i="120" s="1"/>
  <c r="T23" i="121"/>
  <c r="R20" i="120"/>
  <c r="S20" i="120" s="1"/>
  <c r="T20" i="120"/>
  <c r="T14" i="120"/>
  <c r="T13" i="120"/>
  <c r="T12" i="120"/>
  <c r="T11" i="120"/>
  <c r="Z82" i="120"/>
  <c r="Y82" i="120"/>
  <c r="W82" i="120"/>
  <c r="U82" i="120"/>
  <c r="R82" i="120"/>
  <c r="S82" i="120" s="1"/>
  <c r="Z81" i="120"/>
  <c r="Z83" i="120" s="1"/>
  <c r="Y81" i="120"/>
  <c r="Y83" i="120" s="1"/>
  <c r="W81" i="120"/>
  <c r="U81" i="120"/>
  <c r="R81" i="120"/>
  <c r="S81" i="120" s="1"/>
  <c r="W80" i="120"/>
  <c r="AA80" i="120" s="1"/>
  <c r="Z77" i="120"/>
  <c r="Y77" i="120"/>
  <c r="W77" i="120"/>
  <c r="U77" i="120"/>
  <c r="R77" i="120"/>
  <c r="S77" i="120" s="1"/>
  <c r="Y76" i="120"/>
  <c r="W76" i="120"/>
  <c r="U76" i="120"/>
  <c r="R76" i="120"/>
  <c r="S76" i="120" s="1"/>
  <c r="AA76" i="120" s="1"/>
  <c r="Z75" i="120"/>
  <c r="Z78" i="120" s="1"/>
  <c r="Y75" i="120"/>
  <c r="W75" i="120"/>
  <c r="W78" i="120" s="1"/>
  <c r="U75" i="120"/>
  <c r="R75" i="120"/>
  <c r="S75" i="120" s="1"/>
  <c r="Z72" i="120"/>
  <c r="Z73" i="120" s="1"/>
  <c r="Y72" i="120"/>
  <c r="Y73" i="120" s="1"/>
  <c r="W72" i="120"/>
  <c r="U72" i="120"/>
  <c r="U73" i="120" s="1"/>
  <c r="R72" i="120"/>
  <c r="S72" i="120" s="1"/>
  <c r="W71" i="120"/>
  <c r="AA71" i="120" s="1"/>
  <c r="W70" i="120"/>
  <c r="AA70" i="120" s="1"/>
  <c r="Z68" i="120"/>
  <c r="Y67" i="120"/>
  <c r="W67" i="120"/>
  <c r="U67" i="120"/>
  <c r="R67" i="120"/>
  <c r="S67" i="120" s="1"/>
  <c r="Y66" i="120"/>
  <c r="W66" i="120"/>
  <c r="U66" i="120"/>
  <c r="R66" i="120"/>
  <c r="S66" i="120" s="1"/>
  <c r="W65" i="120"/>
  <c r="AA65" i="120" s="1"/>
  <c r="Z62" i="120"/>
  <c r="Y62" i="120"/>
  <c r="W62" i="120"/>
  <c r="U62" i="120"/>
  <c r="S62" i="120"/>
  <c r="R62" i="120"/>
  <c r="W61" i="120"/>
  <c r="AA61" i="120" s="1"/>
  <c r="Z60" i="120"/>
  <c r="Y60" i="120"/>
  <c r="Y63" i="120" s="1"/>
  <c r="W60" i="120"/>
  <c r="U60" i="120"/>
  <c r="U63" i="120" s="1"/>
  <c r="R60" i="120"/>
  <c r="S60" i="120" s="1"/>
  <c r="S63" i="120" s="1"/>
  <c r="W59" i="120"/>
  <c r="AA59" i="120" s="1"/>
  <c r="W58" i="120"/>
  <c r="AA58" i="120" s="1"/>
  <c r="Z55" i="120"/>
  <c r="Y55" i="120"/>
  <c r="W55" i="120"/>
  <c r="T55" i="120"/>
  <c r="U55" i="120" s="1"/>
  <c r="R55" i="120"/>
  <c r="S55" i="120" s="1"/>
  <c r="AA55" i="120" s="1"/>
  <c r="AA54" i="120"/>
  <c r="W54" i="120"/>
  <c r="Z53" i="120"/>
  <c r="Z56" i="120" s="1"/>
  <c r="Y53" i="120"/>
  <c r="W53" i="120"/>
  <c r="T53" i="120"/>
  <c r="U53" i="120" s="1"/>
  <c r="R53" i="120"/>
  <c r="S53" i="120" s="1"/>
  <c r="W52" i="120"/>
  <c r="W56" i="120" s="1"/>
  <c r="W49" i="120"/>
  <c r="AA49" i="120" s="1"/>
  <c r="W48" i="120"/>
  <c r="AA48" i="120" s="1"/>
  <c r="Z47" i="120"/>
  <c r="Y47" i="120"/>
  <c r="W47" i="120"/>
  <c r="U47" i="120"/>
  <c r="R47" i="120"/>
  <c r="S47" i="120" s="1"/>
  <c r="Z46" i="120"/>
  <c r="Z50" i="120" s="1"/>
  <c r="Y46" i="120"/>
  <c r="Y50" i="120" s="1"/>
  <c r="W46" i="120"/>
  <c r="U46" i="120"/>
  <c r="U50" i="120" s="1"/>
  <c r="R46" i="120"/>
  <c r="S46" i="120" s="1"/>
  <c r="W43" i="120"/>
  <c r="AA43" i="120" s="1"/>
  <c r="Z42" i="120"/>
  <c r="Y42" i="120"/>
  <c r="W42" i="120"/>
  <c r="U42" i="120"/>
  <c r="R42" i="120"/>
  <c r="S42" i="120" s="1"/>
  <c r="Y41" i="120"/>
  <c r="W41" i="120"/>
  <c r="U41" i="120"/>
  <c r="R41" i="120"/>
  <c r="S41" i="120" s="1"/>
  <c r="Z40" i="120"/>
  <c r="Z44" i="120" s="1"/>
  <c r="Y40" i="120"/>
  <c r="W40" i="120"/>
  <c r="U40" i="120"/>
  <c r="R40" i="120"/>
  <c r="S40" i="120" s="1"/>
  <c r="Y39" i="120"/>
  <c r="W39" i="120"/>
  <c r="W44" i="120" s="1"/>
  <c r="U39" i="120"/>
  <c r="R39" i="120"/>
  <c r="S39" i="120" s="1"/>
  <c r="Z36" i="120"/>
  <c r="Y36" i="120"/>
  <c r="W36" i="120"/>
  <c r="U36" i="120"/>
  <c r="R36" i="120"/>
  <c r="S36" i="120" s="1"/>
  <c r="W35" i="120"/>
  <c r="AA35" i="120" s="1"/>
  <c r="Y34" i="120"/>
  <c r="W34" i="120"/>
  <c r="U34" i="120"/>
  <c r="S34" i="120"/>
  <c r="Z33" i="120"/>
  <c r="Z37" i="120" s="1"/>
  <c r="Y33" i="120"/>
  <c r="W33" i="120"/>
  <c r="U33" i="120"/>
  <c r="R33" i="120"/>
  <c r="S33" i="120" s="1"/>
  <c r="Y32" i="120"/>
  <c r="W32" i="120"/>
  <c r="U32" i="120"/>
  <c r="R32" i="120"/>
  <c r="S32" i="120" s="1"/>
  <c r="AA31" i="120"/>
  <c r="W31" i="120"/>
  <c r="Z28" i="120"/>
  <c r="Z29" i="120" s="1"/>
  <c r="Y28" i="120"/>
  <c r="W28" i="120"/>
  <c r="U28" i="120"/>
  <c r="R28" i="120"/>
  <c r="S28" i="120" s="1"/>
  <c r="W27" i="120"/>
  <c r="AA27" i="120" s="1"/>
  <c r="W26" i="120"/>
  <c r="AA26" i="120" s="1"/>
  <c r="Z25" i="120"/>
  <c r="Y25" i="120"/>
  <c r="W25" i="120"/>
  <c r="U25" i="120"/>
  <c r="R25" i="120"/>
  <c r="S25" i="120" s="1"/>
  <c r="W24" i="120"/>
  <c r="AA24" i="120" s="1"/>
  <c r="Y23" i="120"/>
  <c r="W23" i="120"/>
  <c r="U23" i="120"/>
  <c r="R23" i="120"/>
  <c r="S23" i="120" s="1"/>
  <c r="Z21" i="120"/>
  <c r="Y20" i="120"/>
  <c r="W20" i="120"/>
  <c r="U20" i="120"/>
  <c r="W19" i="120"/>
  <c r="AA19" i="120" s="1"/>
  <c r="W18" i="120"/>
  <c r="AA18" i="120" s="1"/>
  <c r="Y17" i="120"/>
  <c r="W17" i="120"/>
  <c r="R17" i="120"/>
  <c r="S17" i="120" s="1"/>
  <c r="Z14" i="120"/>
  <c r="Y14" i="120"/>
  <c r="W14" i="120"/>
  <c r="U14" i="120"/>
  <c r="S14" i="120"/>
  <c r="R14" i="120"/>
  <c r="Y13" i="120"/>
  <c r="W13" i="120"/>
  <c r="U13" i="120"/>
  <c r="R13" i="120"/>
  <c r="S13" i="120" s="1"/>
  <c r="Y12" i="120"/>
  <c r="W12" i="120"/>
  <c r="U12" i="120"/>
  <c r="R12" i="120"/>
  <c r="S12" i="120" s="1"/>
  <c r="Y11" i="120"/>
  <c r="W11" i="120"/>
  <c r="U11" i="120"/>
  <c r="R11" i="120"/>
  <c r="S11" i="120" s="1"/>
  <c r="R11" i="121"/>
  <c r="S11" i="121" s="1"/>
  <c r="T11" i="121"/>
  <c r="U11" i="121" s="1"/>
  <c r="W11" i="121"/>
  <c r="Y11" i="121"/>
  <c r="R12" i="121"/>
  <c r="S12" i="121" s="1"/>
  <c r="AA12" i="121" s="1"/>
  <c r="T12" i="121"/>
  <c r="U12" i="121"/>
  <c r="W12" i="121"/>
  <c r="Y12" i="121"/>
  <c r="R13" i="121"/>
  <c r="S13" i="121" s="1"/>
  <c r="T13" i="121"/>
  <c r="U13" i="121"/>
  <c r="W13" i="121"/>
  <c r="Y13" i="121"/>
  <c r="Z13" i="121"/>
  <c r="Z15" i="121" s="1"/>
  <c r="R14" i="121"/>
  <c r="S14" i="121" s="1"/>
  <c r="T14" i="121"/>
  <c r="U14" i="121" s="1"/>
  <c r="W14" i="121"/>
  <c r="Y14" i="121"/>
  <c r="R17" i="121"/>
  <c r="S17" i="121" s="1"/>
  <c r="S21" i="121" s="1"/>
  <c r="T17" i="121"/>
  <c r="U17" i="121" s="1"/>
  <c r="W17" i="121"/>
  <c r="Y17" i="121"/>
  <c r="W18" i="121"/>
  <c r="AA18" i="121" s="1"/>
  <c r="W19" i="121"/>
  <c r="AA19" i="121" s="1"/>
  <c r="R20" i="121"/>
  <c r="S20" i="121" s="1"/>
  <c r="T20" i="121"/>
  <c r="U20" i="121" s="1"/>
  <c r="W20" i="121"/>
  <c r="Y20" i="121"/>
  <c r="Z20" i="121"/>
  <c r="Z21" i="121" s="1"/>
  <c r="R23" i="121"/>
  <c r="S23" i="121" s="1"/>
  <c r="U23" i="121"/>
  <c r="W23" i="121"/>
  <c r="Y23" i="121"/>
  <c r="W24" i="121"/>
  <c r="R25" i="121"/>
  <c r="S25" i="121" s="1"/>
  <c r="W25" i="121"/>
  <c r="Y25" i="121"/>
  <c r="Z25" i="121"/>
  <c r="Z29" i="121" s="1"/>
  <c r="W26" i="121"/>
  <c r="AA26" i="121" s="1"/>
  <c r="W27" i="121"/>
  <c r="AA27" i="121" s="1"/>
  <c r="R28" i="121"/>
  <c r="S28" i="121" s="1"/>
  <c r="U28" i="121"/>
  <c r="W28" i="121"/>
  <c r="Y28" i="121"/>
  <c r="Y29" i="121" s="1"/>
  <c r="Z28" i="121"/>
  <c r="W31" i="121"/>
  <c r="AA31" i="121" s="1"/>
  <c r="R32" i="121"/>
  <c r="S32" i="121"/>
  <c r="U32" i="121"/>
  <c r="W32" i="121"/>
  <c r="Y32" i="121"/>
  <c r="R33" i="121"/>
  <c r="S33" i="121" s="1"/>
  <c r="U33" i="121"/>
  <c r="W33" i="121"/>
  <c r="Y33" i="121"/>
  <c r="Z33" i="121"/>
  <c r="S34" i="121"/>
  <c r="U34" i="121"/>
  <c r="W34" i="121"/>
  <c r="Y34" i="121"/>
  <c r="W35" i="121"/>
  <c r="AA35" i="121" s="1"/>
  <c r="R36" i="121"/>
  <c r="S36" i="121" s="1"/>
  <c r="U36" i="121"/>
  <c r="W36" i="121"/>
  <c r="Y36" i="121"/>
  <c r="Z36" i="121"/>
  <c r="Z37" i="121" s="1"/>
  <c r="R39" i="121"/>
  <c r="S39" i="121" s="1"/>
  <c r="U39" i="121"/>
  <c r="W39" i="121"/>
  <c r="Y39" i="121"/>
  <c r="R40" i="121"/>
  <c r="S40" i="121" s="1"/>
  <c r="U40" i="121"/>
  <c r="W40" i="121"/>
  <c r="Z40" i="121"/>
  <c r="R41" i="121"/>
  <c r="S41" i="121" s="1"/>
  <c r="U41" i="121"/>
  <c r="W41" i="121"/>
  <c r="Y41" i="121"/>
  <c r="R42" i="121"/>
  <c r="S42" i="121" s="1"/>
  <c r="U42" i="121"/>
  <c r="W42" i="121"/>
  <c r="Y42" i="121"/>
  <c r="Z42" i="121"/>
  <c r="Z44" i="121" s="1"/>
  <c r="W43" i="121"/>
  <c r="AA43" i="121" s="1"/>
  <c r="R46" i="121"/>
  <c r="S46" i="121"/>
  <c r="U46" i="121"/>
  <c r="W46" i="121"/>
  <c r="Y46" i="121"/>
  <c r="Z46" i="121"/>
  <c r="R47" i="121"/>
  <c r="S47" i="121" s="1"/>
  <c r="U47" i="121"/>
  <c r="W47" i="121"/>
  <c r="Y47" i="121"/>
  <c r="Z47" i="121"/>
  <c r="W48" i="121"/>
  <c r="AA48" i="121" s="1"/>
  <c r="W49" i="121"/>
  <c r="AA49" i="121" s="1"/>
  <c r="W52" i="121"/>
  <c r="AA52" i="121" s="1"/>
  <c r="R53" i="121"/>
  <c r="S53" i="121" s="1"/>
  <c r="U53" i="121"/>
  <c r="W53" i="121"/>
  <c r="Y53" i="121"/>
  <c r="Z53" i="121"/>
  <c r="W54" i="121"/>
  <c r="AA54" i="121" s="1"/>
  <c r="R55" i="121"/>
  <c r="S55" i="121" s="1"/>
  <c r="U55" i="121"/>
  <c r="W55" i="121"/>
  <c r="Y55" i="121"/>
  <c r="Y56" i="121" s="1"/>
  <c r="Z55" i="121"/>
  <c r="W58" i="121"/>
  <c r="AA58" i="121" s="1"/>
  <c r="W59" i="121"/>
  <c r="AA59" i="121" s="1"/>
  <c r="R60" i="121"/>
  <c r="S60" i="121" s="1"/>
  <c r="U60" i="121"/>
  <c r="W60" i="121"/>
  <c r="Y60" i="121"/>
  <c r="Z60" i="121"/>
  <c r="Z63" i="121" s="1"/>
  <c r="W61" i="121"/>
  <c r="AA61" i="121" s="1"/>
  <c r="R62" i="121"/>
  <c r="S62" i="121"/>
  <c r="AA62" i="121" s="1"/>
  <c r="U62" i="121"/>
  <c r="W62" i="121"/>
  <c r="Y62" i="121"/>
  <c r="Z62" i="121"/>
  <c r="W65" i="121"/>
  <c r="AA65" i="121" s="1"/>
  <c r="R66" i="121"/>
  <c r="S66" i="121" s="1"/>
  <c r="U66" i="121"/>
  <c r="W66" i="121"/>
  <c r="Y66" i="121"/>
  <c r="R67" i="121"/>
  <c r="S67" i="121"/>
  <c r="AA67" i="121" s="1"/>
  <c r="U67" i="121"/>
  <c r="W67" i="121"/>
  <c r="Y67" i="121"/>
  <c r="Z68" i="121"/>
  <c r="W70" i="121"/>
  <c r="W71" i="121"/>
  <c r="AA71" i="121" s="1"/>
  <c r="R72" i="121"/>
  <c r="S72" i="121" s="1"/>
  <c r="U72" i="121"/>
  <c r="U73" i="121" s="1"/>
  <c r="W72" i="121"/>
  <c r="Y72" i="121"/>
  <c r="Y73" i="121" s="1"/>
  <c r="Z72" i="121"/>
  <c r="Z73" i="121" s="1"/>
  <c r="R75" i="121"/>
  <c r="S75" i="121" s="1"/>
  <c r="AA75" i="121" s="1"/>
  <c r="U75" i="121"/>
  <c r="W75" i="121"/>
  <c r="Y75" i="121"/>
  <c r="Z75" i="121"/>
  <c r="Z78" i="121" s="1"/>
  <c r="R76" i="121"/>
  <c r="S76" i="121" s="1"/>
  <c r="U76" i="121"/>
  <c r="W76" i="121"/>
  <c r="Y76" i="121"/>
  <c r="R77" i="121"/>
  <c r="S77" i="121" s="1"/>
  <c r="U77" i="121"/>
  <c r="W77" i="121"/>
  <c r="Y77" i="121"/>
  <c r="Z77" i="121"/>
  <c r="W80" i="121"/>
  <c r="AA80" i="121" s="1"/>
  <c r="R81" i="121"/>
  <c r="S81" i="121"/>
  <c r="U81" i="121"/>
  <c r="W81" i="121"/>
  <c r="Y81" i="121"/>
  <c r="Z81" i="121"/>
  <c r="R82" i="121"/>
  <c r="S82" i="121"/>
  <c r="U82" i="121"/>
  <c r="W82" i="121"/>
  <c r="Y82" i="121"/>
  <c r="Z82" i="121"/>
  <c r="G123" i="127"/>
  <c r="G122" i="127"/>
  <c r="G121" i="127"/>
  <c r="G120" i="127"/>
  <c r="G119" i="127"/>
  <c r="G118" i="127"/>
  <c r="G117" i="127"/>
  <c r="G116" i="127"/>
  <c r="G115" i="127"/>
  <c r="G114" i="127"/>
  <c r="G113" i="127"/>
  <c r="G112" i="127"/>
  <c r="G111" i="127"/>
  <c r="G110" i="127"/>
  <c r="G109" i="127"/>
  <c r="G108" i="127"/>
  <c r="G107" i="127"/>
  <c r="G106" i="127"/>
  <c r="G104" i="127"/>
  <c r="G103" i="127"/>
  <c r="G102" i="127"/>
  <c r="G101" i="127"/>
  <c r="G100" i="127"/>
  <c r="G98" i="127"/>
  <c r="G97" i="127"/>
  <c r="G96" i="127"/>
  <c r="G95" i="127"/>
  <c r="G94" i="127"/>
  <c r="G92" i="127"/>
  <c r="G91" i="127"/>
  <c r="G90" i="127"/>
  <c r="G89" i="127"/>
  <c r="G88" i="127"/>
  <c r="G86" i="127"/>
  <c r="G85" i="127"/>
  <c r="G84" i="127"/>
  <c r="G83" i="127"/>
  <c r="G82" i="127"/>
  <c r="G81" i="127"/>
  <c r="G79" i="127"/>
  <c r="G78" i="127"/>
  <c r="G77" i="127"/>
  <c r="G74" i="127"/>
  <c r="G72" i="127"/>
  <c r="G69" i="127"/>
  <c r="G67" i="127"/>
  <c r="G64" i="127"/>
  <c r="G62" i="127"/>
  <c r="G60" i="127"/>
  <c r="G57" i="127"/>
  <c r="G55" i="127"/>
  <c r="G51" i="127"/>
  <c r="G48" i="127"/>
  <c r="G47" i="127"/>
  <c r="G45" i="127"/>
  <c r="G42" i="127"/>
  <c r="G40" i="127"/>
  <c r="G39" i="127"/>
  <c r="G35" i="127"/>
  <c r="G34" i="127"/>
  <c r="G33" i="127"/>
  <c r="G32" i="127"/>
  <c r="G31" i="127"/>
  <c r="G29" i="127"/>
  <c r="G27" i="127"/>
  <c r="G23" i="127"/>
  <c r="G22" i="127"/>
  <c r="G21" i="127"/>
  <c r="G19" i="127"/>
  <c r="G16" i="127"/>
  <c r="G15" i="127"/>
  <c r="G14" i="127"/>
  <c r="G13" i="127"/>
  <c r="G12" i="127"/>
  <c r="G11" i="127"/>
  <c r="G10" i="127"/>
  <c r="G9" i="127"/>
  <c r="G8" i="127"/>
  <c r="AA34" i="120" l="1"/>
  <c r="W64" i="122"/>
  <c r="AA55" i="121"/>
  <c r="Y44" i="122"/>
  <c r="S64" i="122"/>
  <c r="Z15" i="122"/>
  <c r="Y37" i="121"/>
  <c r="U15" i="124"/>
  <c r="Y56" i="120"/>
  <c r="Y78" i="120"/>
  <c r="Y84" i="124"/>
  <c r="AA52" i="120"/>
  <c r="Y15" i="124"/>
  <c r="Y50" i="124"/>
  <c r="Z84" i="124"/>
  <c r="S50" i="122"/>
  <c r="AA83" i="122"/>
  <c r="W79" i="124"/>
  <c r="W74" i="124"/>
  <c r="W50" i="122"/>
  <c r="Z57" i="124"/>
  <c r="W69" i="124"/>
  <c r="Y37" i="122"/>
  <c r="S79" i="122"/>
  <c r="Y79" i="122"/>
  <c r="AA34" i="124"/>
  <c r="W37" i="120"/>
  <c r="W83" i="120"/>
  <c r="Z37" i="122"/>
  <c r="Y69" i="122"/>
  <c r="Y37" i="120"/>
  <c r="U44" i="120"/>
  <c r="AA42" i="120"/>
  <c r="AA25" i="122"/>
  <c r="W44" i="122"/>
  <c r="AA13" i="124"/>
  <c r="W64" i="124"/>
  <c r="AA32" i="121"/>
  <c r="W84" i="124"/>
  <c r="Y29" i="120"/>
  <c r="Y44" i="120"/>
  <c r="AA34" i="122"/>
  <c r="U21" i="124"/>
  <c r="W44" i="124"/>
  <c r="Y79" i="124"/>
  <c r="U56" i="121"/>
  <c r="AA34" i="121"/>
  <c r="U37" i="120"/>
  <c r="Z63" i="120"/>
  <c r="W74" i="122"/>
  <c r="W79" i="122"/>
  <c r="Z15" i="124"/>
  <c r="S37" i="124"/>
  <c r="Z44" i="124"/>
  <c r="Z85" i="124" s="1"/>
  <c r="AA20" i="121"/>
  <c r="AA14" i="121"/>
  <c r="AA77" i="120"/>
  <c r="AA55" i="122"/>
  <c r="W29" i="124"/>
  <c r="W57" i="124"/>
  <c r="AA60" i="121"/>
  <c r="U63" i="121"/>
  <c r="U83" i="120"/>
  <c r="AA61" i="122"/>
  <c r="W69" i="122"/>
  <c r="Y29" i="124"/>
  <c r="U44" i="124"/>
  <c r="W50" i="124"/>
  <c r="Y64" i="124"/>
  <c r="Y69" i="124"/>
  <c r="AA81" i="121"/>
  <c r="Y15" i="121"/>
  <c r="AA62" i="120"/>
  <c r="W29" i="122"/>
  <c r="Y37" i="124"/>
  <c r="Z64" i="124"/>
  <c r="G124" i="127"/>
  <c r="Y78" i="121"/>
  <c r="Y21" i="121"/>
  <c r="W29" i="120"/>
  <c r="AA28" i="120"/>
  <c r="U78" i="120"/>
  <c r="Y29" i="122"/>
  <c r="W37" i="122"/>
  <c r="W57" i="122"/>
  <c r="Y64" i="122"/>
  <c r="Y84" i="122"/>
  <c r="AA20" i="124"/>
  <c r="AA78" i="124"/>
  <c r="U79" i="124"/>
  <c r="AA77" i="124"/>
  <c r="U69" i="124"/>
  <c r="U64" i="124"/>
  <c r="AA56" i="124"/>
  <c r="AA55" i="124"/>
  <c r="U57" i="124"/>
  <c r="AA47" i="124"/>
  <c r="U50" i="124"/>
  <c r="AA42" i="124"/>
  <c r="AA40" i="124"/>
  <c r="AA41" i="124"/>
  <c r="AA36" i="124"/>
  <c r="AA32" i="124"/>
  <c r="U37" i="124"/>
  <c r="AA28" i="124"/>
  <c r="U29" i="124"/>
  <c r="AA14" i="124"/>
  <c r="AA12" i="124"/>
  <c r="AA13" i="122"/>
  <c r="AA33" i="122"/>
  <c r="U37" i="122"/>
  <c r="AA40" i="122"/>
  <c r="U44" i="122"/>
  <c r="AA42" i="122"/>
  <c r="AA47" i="122"/>
  <c r="U50" i="122"/>
  <c r="W15" i="122"/>
  <c r="Y15" i="122"/>
  <c r="U21" i="122"/>
  <c r="W21" i="122"/>
  <c r="AA13" i="121"/>
  <c r="W29" i="121"/>
  <c r="Y63" i="121"/>
  <c r="W63" i="121"/>
  <c r="Z56" i="121"/>
  <c r="AA53" i="121"/>
  <c r="W56" i="121"/>
  <c r="AA77" i="121"/>
  <c r="W78" i="121"/>
  <c r="U78" i="121"/>
  <c r="Z15" i="120"/>
  <c r="Z84" i="120" s="1"/>
  <c r="Y68" i="120"/>
  <c r="AA67" i="120"/>
  <c r="U68" i="120"/>
  <c r="W50" i="120"/>
  <c r="Y21" i="120"/>
  <c r="W21" i="120"/>
  <c r="AA14" i="120"/>
  <c r="W15" i="120"/>
  <c r="Y15" i="120"/>
  <c r="Y83" i="121"/>
  <c r="S83" i="121"/>
  <c r="U83" i="121"/>
  <c r="Z83" i="121"/>
  <c r="W73" i="121"/>
  <c r="AA70" i="121"/>
  <c r="Y68" i="121"/>
  <c r="U68" i="121"/>
  <c r="W68" i="121"/>
  <c r="U50" i="121"/>
  <c r="AA47" i="121"/>
  <c r="Y50" i="121"/>
  <c r="W50" i="121"/>
  <c r="Z50" i="121"/>
  <c r="Y44" i="121"/>
  <c r="W44" i="121"/>
  <c r="W21" i="121"/>
  <c r="U15" i="121"/>
  <c r="W15" i="121"/>
  <c r="AA83" i="124"/>
  <c r="U84" i="124"/>
  <c r="S15" i="124"/>
  <c r="AA11" i="124"/>
  <c r="S57" i="124"/>
  <c r="AA53" i="124"/>
  <c r="S29" i="124"/>
  <c r="AA25" i="124"/>
  <c r="AA39" i="124"/>
  <c r="S44" i="124"/>
  <c r="S64" i="124"/>
  <c r="AA63" i="124"/>
  <c r="S79" i="124"/>
  <c r="AA76" i="124"/>
  <c r="AA17" i="124"/>
  <c r="S21" i="124"/>
  <c r="AA67" i="124"/>
  <c r="S69" i="124"/>
  <c r="S74" i="124"/>
  <c r="AA73" i="124"/>
  <c r="S84" i="124"/>
  <c r="AA82" i="124"/>
  <c r="AA23" i="124"/>
  <c r="AA71" i="124"/>
  <c r="AA61" i="124"/>
  <c r="AA66" i="124"/>
  <c r="W21" i="124"/>
  <c r="AA33" i="124"/>
  <c r="AA46" i="124"/>
  <c r="W37" i="124"/>
  <c r="U84" i="122"/>
  <c r="AA12" i="122"/>
  <c r="AA14" i="122"/>
  <c r="U15" i="122"/>
  <c r="AA17" i="122"/>
  <c r="U29" i="122"/>
  <c r="AA28" i="122"/>
  <c r="AA36" i="122"/>
  <c r="AA41" i="122"/>
  <c r="AA56" i="122"/>
  <c r="U57" i="122"/>
  <c r="AA63" i="122"/>
  <c r="U69" i="122"/>
  <c r="AA68" i="122"/>
  <c r="AA73" i="122"/>
  <c r="AA76" i="122"/>
  <c r="AA77" i="122"/>
  <c r="AA78" i="122"/>
  <c r="U79" i="122"/>
  <c r="AA67" i="122"/>
  <c r="S69" i="122"/>
  <c r="S84" i="122"/>
  <c r="AA82" i="122"/>
  <c r="S21" i="122"/>
  <c r="AA20" i="122"/>
  <c r="S44" i="122"/>
  <c r="AA39" i="122"/>
  <c r="S57" i="122"/>
  <c r="AA53" i="122"/>
  <c r="AA32" i="122"/>
  <c r="S37" i="122"/>
  <c r="AA23" i="122"/>
  <c r="S29" i="122"/>
  <c r="S15" i="122"/>
  <c r="AA11" i="122"/>
  <c r="Z79" i="122"/>
  <c r="Z85" i="122" s="1"/>
  <c r="W84" i="122"/>
  <c r="AA66" i="122"/>
  <c r="AA71" i="122"/>
  <c r="AA46" i="122"/>
  <c r="AA52" i="122"/>
  <c r="AA59" i="122"/>
  <c r="Y21" i="122"/>
  <c r="U64" i="122"/>
  <c r="AA82" i="120"/>
  <c r="AA20" i="120"/>
  <c r="AA23" i="120"/>
  <c r="AA25" i="121"/>
  <c r="U29" i="121"/>
  <c r="AA13" i="120"/>
  <c r="AA28" i="121"/>
  <c r="U29" i="120"/>
  <c r="AA33" i="120"/>
  <c r="AA36" i="120"/>
  <c r="AA36" i="121"/>
  <c r="U37" i="121"/>
  <c r="AA40" i="121"/>
  <c r="AA41" i="121"/>
  <c r="AA42" i="121"/>
  <c r="U44" i="121"/>
  <c r="AA46" i="121"/>
  <c r="AA50" i="121" s="1"/>
  <c r="AA40" i="120"/>
  <c r="AA41" i="120"/>
  <c r="AA82" i="121"/>
  <c r="AA72" i="120"/>
  <c r="S73" i="120"/>
  <c r="U56" i="120"/>
  <c r="S21" i="120"/>
  <c r="U21" i="120"/>
  <c r="S56" i="120"/>
  <c r="AA53" i="120"/>
  <c r="AA25" i="120"/>
  <c r="S29" i="120"/>
  <c r="AA39" i="120"/>
  <c r="S44" i="120"/>
  <c r="AA11" i="120"/>
  <c r="U15" i="120"/>
  <c r="AA46" i="120"/>
  <c r="S50" i="120"/>
  <c r="S78" i="120"/>
  <c r="S83" i="120"/>
  <c r="AA81" i="120"/>
  <c r="AA32" i="120"/>
  <c r="S37" i="120"/>
  <c r="AA12" i="120"/>
  <c r="S15" i="120"/>
  <c r="AA66" i="120"/>
  <c r="S68" i="120"/>
  <c r="AA47" i="120"/>
  <c r="AA17" i="120"/>
  <c r="AA75" i="120"/>
  <c r="AA60" i="120"/>
  <c r="W73" i="120"/>
  <c r="W63" i="120"/>
  <c r="W68" i="120"/>
  <c r="AA63" i="121"/>
  <c r="S78" i="121"/>
  <c r="AA76" i="121"/>
  <c r="S37" i="121"/>
  <c r="AA33" i="121"/>
  <c r="S73" i="121"/>
  <c r="AA72" i="121"/>
  <c r="S68" i="121"/>
  <c r="AA66" i="121"/>
  <c r="S44" i="121"/>
  <c r="AA39" i="121"/>
  <c r="AA56" i="121"/>
  <c r="S29" i="121"/>
  <c r="AA23" i="121"/>
  <c r="U21" i="121"/>
  <c r="AA17" i="121"/>
  <c r="AA11" i="121"/>
  <c r="S15" i="121"/>
  <c r="S50" i="121"/>
  <c r="W37" i="121"/>
  <c r="W83" i="121"/>
  <c r="AA24" i="121"/>
  <c r="S56" i="121"/>
  <c r="S63" i="121"/>
  <c r="C25" i="111"/>
  <c r="C25" i="110"/>
  <c r="R20" i="125"/>
  <c r="R41" i="125"/>
  <c r="S41" i="125" s="1"/>
  <c r="R76" i="125"/>
  <c r="R77" i="125"/>
  <c r="S77" i="125" s="1"/>
  <c r="R78" i="125"/>
  <c r="R82" i="125"/>
  <c r="S82" i="125" s="1"/>
  <c r="R83" i="125"/>
  <c r="U47" i="123"/>
  <c r="R20" i="123"/>
  <c r="S20" i="123" s="1"/>
  <c r="R41" i="123"/>
  <c r="R83" i="123"/>
  <c r="S83" i="123" s="1"/>
  <c r="R82" i="123"/>
  <c r="S82" i="123" s="1"/>
  <c r="R78" i="123"/>
  <c r="R77" i="123"/>
  <c r="S77" i="123" s="1"/>
  <c r="R76" i="123"/>
  <c r="Z83" i="125"/>
  <c r="Z78" i="125"/>
  <c r="Z83" i="123"/>
  <c r="Z78" i="123"/>
  <c r="Y83" i="125"/>
  <c r="W83" i="125"/>
  <c r="U83" i="125"/>
  <c r="S83" i="125"/>
  <c r="Q83" i="125"/>
  <c r="Z82" i="125"/>
  <c r="Y82" i="125"/>
  <c r="W82" i="125"/>
  <c r="U82" i="125"/>
  <c r="Q82" i="125"/>
  <c r="W81" i="125"/>
  <c r="P81" i="125"/>
  <c r="P84" i="125" s="1"/>
  <c r="M81" i="125"/>
  <c r="N81" i="125" s="1"/>
  <c r="N84" i="125" s="1"/>
  <c r="K81" i="125"/>
  <c r="L81" i="125" s="1"/>
  <c r="L84" i="125" s="1"/>
  <c r="J81" i="125"/>
  <c r="J84" i="125" s="1"/>
  <c r="P79" i="125"/>
  <c r="N79" i="125"/>
  <c r="L79" i="125"/>
  <c r="J79" i="125"/>
  <c r="Y78" i="125"/>
  <c r="W78" i="125"/>
  <c r="U78" i="125"/>
  <c r="S78" i="125"/>
  <c r="Q78" i="125"/>
  <c r="Y77" i="125"/>
  <c r="W77" i="125"/>
  <c r="U77" i="125"/>
  <c r="Q77" i="125"/>
  <c r="Z76" i="125"/>
  <c r="Y76" i="125"/>
  <c r="W76" i="125"/>
  <c r="U76" i="125"/>
  <c r="S76" i="125"/>
  <c r="Q76" i="125"/>
  <c r="Q79" i="125" s="1"/>
  <c r="Z73" i="125"/>
  <c r="Z74" i="125" s="1"/>
  <c r="Y73" i="125"/>
  <c r="Y74" i="125" s="1"/>
  <c r="W73" i="125"/>
  <c r="U73" i="125"/>
  <c r="U74" i="125" s="1"/>
  <c r="R73" i="125"/>
  <c r="S73" i="125" s="1"/>
  <c r="Q73" i="125"/>
  <c r="W72" i="125"/>
  <c r="AA72" i="125" s="1"/>
  <c r="P72" i="125"/>
  <c r="M72" i="125"/>
  <c r="N72" i="125" s="1"/>
  <c r="K72" i="125"/>
  <c r="L72" i="125" s="1"/>
  <c r="J72" i="125"/>
  <c r="W71" i="125"/>
  <c r="P71" i="125"/>
  <c r="M71" i="125"/>
  <c r="N71" i="125" s="1"/>
  <c r="K71" i="125"/>
  <c r="L71" i="125" s="1"/>
  <c r="J71" i="125"/>
  <c r="Z69" i="125"/>
  <c r="Y68" i="125"/>
  <c r="W68" i="125"/>
  <c r="U68" i="125"/>
  <c r="R68" i="125"/>
  <c r="S68" i="125" s="1"/>
  <c r="Q68" i="125"/>
  <c r="Y67" i="125"/>
  <c r="W67" i="125"/>
  <c r="U67" i="125"/>
  <c r="R67" i="125"/>
  <c r="S67" i="125" s="1"/>
  <c r="Q67" i="125"/>
  <c r="W66" i="125"/>
  <c r="AA66" i="125" s="1"/>
  <c r="P66" i="125"/>
  <c r="P69" i="125" s="1"/>
  <c r="M66" i="125"/>
  <c r="N66" i="125" s="1"/>
  <c r="N69" i="125" s="1"/>
  <c r="K66" i="125"/>
  <c r="L66" i="125" s="1"/>
  <c r="L69" i="125" s="1"/>
  <c r="J66" i="125"/>
  <c r="Z63" i="125"/>
  <c r="Y63" i="125"/>
  <c r="W63" i="125"/>
  <c r="U63" i="125"/>
  <c r="R63" i="125"/>
  <c r="S63" i="125" s="1"/>
  <c r="Q63" i="125"/>
  <c r="W62" i="125"/>
  <c r="AA62" i="125" s="1"/>
  <c r="P62" i="125"/>
  <c r="M62" i="125"/>
  <c r="N62" i="125" s="1"/>
  <c r="K62" i="125"/>
  <c r="L62" i="125" s="1"/>
  <c r="J62" i="125"/>
  <c r="Z61" i="125"/>
  <c r="Y61" i="125"/>
  <c r="Y64" i="125" s="1"/>
  <c r="W61" i="125"/>
  <c r="U61" i="125"/>
  <c r="R61" i="125"/>
  <c r="S61" i="125" s="1"/>
  <c r="Q61" i="125"/>
  <c r="W60" i="125"/>
  <c r="AA60" i="125" s="1"/>
  <c r="P60" i="125"/>
  <c r="M60" i="125"/>
  <c r="N60" i="125" s="1"/>
  <c r="K60" i="125"/>
  <c r="L60" i="125" s="1"/>
  <c r="J60" i="125"/>
  <c r="W59" i="125"/>
  <c r="P59" i="125"/>
  <c r="M59" i="125"/>
  <c r="N59" i="125" s="1"/>
  <c r="K59" i="125"/>
  <c r="L59" i="125" s="1"/>
  <c r="J59" i="125"/>
  <c r="Y56" i="125"/>
  <c r="W56" i="125"/>
  <c r="U56" i="125"/>
  <c r="R56" i="125"/>
  <c r="S56" i="125" s="1"/>
  <c r="Q56" i="125"/>
  <c r="Z55" i="125"/>
  <c r="Y55" i="125"/>
  <c r="W55" i="125"/>
  <c r="U55" i="125"/>
  <c r="R55" i="125"/>
  <c r="S55" i="125" s="1"/>
  <c r="Q55" i="125"/>
  <c r="W54" i="125"/>
  <c r="AA54" i="125" s="1"/>
  <c r="P54" i="125"/>
  <c r="M54" i="125"/>
  <c r="N54" i="125" s="1"/>
  <c r="K54" i="125"/>
  <c r="L54" i="125" s="1"/>
  <c r="J54" i="125"/>
  <c r="Z53" i="125"/>
  <c r="Y53" i="125"/>
  <c r="W53" i="125"/>
  <c r="U53" i="125"/>
  <c r="R53" i="125"/>
  <c r="S53" i="125" s="1"/>
  <c r="Q53" i="125"/>
  <c r="W52" i="125"/>
  <c r="P52" i="125"/>
  <c r="P57" i="125" s="1"/>
  <c r="M52" i="125"/>
  <c r="N52" i="125" s="1"/>
  <c r="K52" i="125"/>
  <c r="L52" i="125" s="1"/>
  <c r="J52" i="125"/>
  <c r="W49" i="125"/>
  <c r="AA49" i="125" s="1"/>
  <c r="P49" i="125"/>
  <c r="M49" i="125"/>
  <c r="N49" i="125" s="1"/>
  <c r="K49" i="125"/>
  <c r="L49" i="125" s="1"/>
  <c r="J49" i="125"/>
  <c r="W48" i="125"/>
  <c r="AA48" i="125" s="1"/>
  <c r="P48" i="125"/>
  <c r="M48" i="125"/>
  <c r="N48" i="125" s="1"/>
  <c r="K48" i="125"/>
  <c r="L48" i="125" s="1"/>
  <c r="J48" i="125"/>
  <c r="Z47" i="125"/>
  <c r="Y47" i="125"/>
  <c r="W47" i="125"/>
  <c r="U47" i="125"/>
  <c r="R47" i="125"/>
  <c r="S47" i="125" s="1"/>
  <c r="Q47" i="125"/>
  <c r="Z46" i="125"/>
  <c r="Y46" i="125"/>
  <c r="W46" i="125"/>
  <c r="U46" i="125"/>
  <c r="S46" i="125"/>
  <c r="R46" i="125"/>
  <c r="Q46" i="125"/>
  <c r="W43" i="125"/>
  <c r="AA43" i="125" s="1"/>
  <c r="P43" i="125"/>
  <c r="P44" i="125" s="1"/>
  <c r="M43" i="125"/>
  <c r="N43" i="125" s="1"/>
  <c r="N44" i="125" s="1"/>
  <c r="K43" i="125"/>
  <c r="L43" i="125" s="1"/>
  <c r="L44" i="125" s="1"/>
  <c r="J43" i="125"/>
  <c r="J44" i="125" s="1"/>
  <c r="Z42" i="125"/>
  <c r="Y42" i="125"/>
  <c r="W42" i="125"/>
  <c r="U42" i="125"/>
  <c r="R42" i="125"/>
  <c r="S42" i="125" s="1"/>
  <c r="Q42" i="125"/>
  <c r="Y41" i="125"/>
  <c r="W41" i="125"/>
  <c r="U41" i="125"/>
  <c r="Q41" i="125"/>
  <c r="Z40" i="125"/>
  <c r="Y40" i="125"/>
  <c r="W40" i="125"/>
  <c r="U40" i="125"/>
  <c r="R40" i="125"/>
  <c r="S40" i="125" s="1"/>
  <c r="Q40" i="125"/>
  <c r="Y39" i="125"/>
  <c r="W39" i="125"/>
  <c r="U39" i="125"/>
  <c r="R39" i="125"/>
  <c r="S39" i="125" s="1"/>
  <c r="Q39" i="125"/>
  <c r="Z36" i="125"/>
  <c r="Y36" i="125"/>
  <c r="W36" i="125"/>
  <c r="U36" i="125"/>
  <c r="R36" i="125"/>
  <c r="S36" i="125" s="1"/>
  <c r="Q36" i="125"/>
  <c r="W35" i="125"/>
  <c r="AA35" i="125" s="1"/>
  <c r="P35" i="125"/>
  <c r="M35" i="125"/>
  <c r="N35" i="125" s="1"/>
  <c r="K35" i="125"/>
  <c r="L35" i="125" s="1"/>
  <c r="J35" i="125"/>
  <c r="Y34" i="125"/>
  <c r="W34" i="125"/>
  <c r="U34" i="125"/>
  <c r="S34" i="125"/>
  <c r="AA34" i="125" s="1"/>
  <c r="P34" i="125"/>
  <c r="M34" i="125"/>
  <c r="N34" i="125" s="1"/>
  <c r="K34" i="125"/>
  <c r="L34" i="125" s="1"/>
  <c r="J34" i="125"/>
  <c r="Z33" i="125"/>
  <c r="Y33" i="125"/>
  <c r="W33" i="125"/>
  <c r="U33" i="125"/>
  <c r="R33" i="125"/>
  <c r="S33" i="125" s="1"/>
  <c r="Q33" i="125"/>
  <c r="Y32" i="125"/>
  <c r="W32" i="125"/>
  <c r="U32" i="125"/>
  <c r="R32" i="125"/>
  <c r="S32" i="125" s="1"/>
  <c r="Q32" i="125"/>
  <c r="W31" i="125"/>
  <c r="P31" i="125"/>
  <c r="M31" i="125"/>
  <c r="N31" i="125" s="1"/>
  <c r="N37" i="125" s="1"/>
  <c r="K31" i="125"/>
  <c r="L31" i="125" s="1"/>
  <c r="J31" i="125"/>
  <c r="Z28" i="125"/>
  <c r="Y28" i="125"/>
  <c r="W28" i="125"/>
  <c r="U28" i="125"/>
  <c r="R28" i="125"/>
  <c r="S28" i="125" s="1"/>
  <c r="Q28" i="125"/>
  <c r="W27" i="125"/>
  <c r="AA27" i="125" s="1"/>
  <c r="P27" i="125"/>
  <c r="M27" i="125"/>
  <c r="N27" i="125" s="1"/>
  <c r="K27" i="125"/>
  <c r="L27" i="125" s="1"/>
  <c r="J27" i="125"/>
  <c r="W26" i="125"/>
  <c r="AA26" i="125" s="1"/>
  <c r="P26" i="125"/>
  <c r="M26" i="125"/>
  <c r="N26" i="125" s="1"/>
  <c r="K26" i="125"/>
  <c r="L26" i="125" s="1"/>
  <c r="J26" i="125"/>
  <c r="Z25" i="125"/>
  <c r="Z29" i="125" s="1"/>
  <c r="Y25" i="125"/>
  <c r="W25" i="125"/>
  <c r="U25" i="125"/>
  <c r="R25" i="125"/>
  <c r="S25" i="125" s="1"/>
  <c r="Q25" i="125"/>
  <c r="W24" i="125"/>
  <c r="AA24" i="125" s="1"/>
  <c r="P24" i="125"/>
  <c r="N24" i="125"/>
  <c r="M24" i="125"/>
  <c r="K24" i="125"/>
  <c r="L24" i="125" s="1"/>
  <c r="J24" i="125"/>
  <c r="Y23" i="125"/>
  <c r="Y29" i="125" s="1"/>
  <c r="W23" i="125"/>
  <c r="U23" i="125"/>
  <c r="R23" i="125"/>
  <c r="S23" i="125" s="1"/>
  <c r="Q23" i="125"/>
  <c r="Z20" i="125"/>
  <c r="Z21" i="125" s="1"/>
  <c r="Y20" i="125"/>
  <c r="W20" i="125"/>
  <c r="U20" i="125"/>
  <c r="S20" i="125"/>
  <c r="Q20" i="125"/>
  <c r="W19" i="125"/>
  <c r="AA19" i="125" s="1"/>
  <c r="P19" i="125"/>
  <c r="M19" i="125"/>
  <c r="N19" i="125" s="1"/>
  <c r="K19" i="125"/>
  <c r="L19" i="125" s="1"/>
  <c r="J19" i="125"/>
  <c r="W18" i="125"/>
  <c r="AA18" i="125" s="1"/>
  <c r="P18" i="125"/>
  <c r="M18" i="125"/>
  <c r="N18" i="125" s="1"/>
  <c r="K18" i="125"/>
  <c r="L18" i="125" s="1"/>
  <c r="J18" i="125"/>
  <c r="Y17" i="125"/>
  <c r="Y21" i="125" s="1"/>
  <c r="W17" i="125"/>
  <c r="U17" i="125"/>
  <c r="R17" i="125"/>
  <c r="S17" i="125" s="1"/>
  <c r="Q17" i="125"/>
  <c r="P15" i="125"/>
  <c r="N15" i="125"/>
  <c r="L15" i="125"/>
  <c r="J15" i="125"/>
  <c r="W14" i="125"/>
  <c r="U14" i="125"/>
  <c r="R14" i="125"/>
  <c r="S14" i="125" s="1"/>
  <c r="Q14" i="125"/>
  <c r="Z13" i="125"/>
  <c r="Z15" i="125" s="1"/>
  <c r="Y13" i="125"/>
  <c r="W13" i="125"/>
  <c r="U13" i="125"/>
  <c r="S13" i="125"/>
  <c r="R13" i="125"/>
  <c r="Q13" i="125"/>
  <c r="Y12" i="125"/>
  <c r="W12" i="125"/>
  <c r="U12" i="125"/>
  <c r="R12" i="125"/>
  <c r="S12" i="125" s="1"/>
  <c r="Q12" i="125"/>
  <c r="Y11" i="125"/>
  <c r="W11" i="125"/>
  <c r="U11" i="125"/>
  <c r="S11" i="125"/>
  <c r="R11" i="125"/>
  <c r="Q11" i="125"/>
  <c r="Q83" i="124"/>
  <c r="Q82" i="124"/>
  <c r="P81" i="124"/>
  <c r="P84" i="124" s="1"/>
  <c r="M81" i="124"/>
  <c r="N81" i="124" s="1"/>
  <c r="N84" i="124" s="1"/>
  <c r="K81" i="124"/>
  <c r="L81" i="124" s="1"/>
  <c r="L84" i="124" s="1"/>
  <c r="J81" i="124"/>
  <c r="P79" i="124"/>
  <c r="N79" i="124"/>
  <c r="L79" i="124"/>
  <c r="J79" i="124"/>
  <c r="Q78" i="124"/>
  <c r="Q77" i="124"/>
  <c r="Q76" i="124"/>
  <c r="Q79" i="124" s="1"/>
  <c r="Q73" i="124"/>
  <c r="P72" i="124"/>
  <c r="M72" i="124"/>
  <c r="N72" i="124" s="1"/>
  <c r="K72" i="124"/>
  <c r="L72" i="124" s="1"/>
  <c r="J72" i="124"/>
  <c r="P71" i="124"/>
  <c r="M71" i="124"/>
  <c r="N71" i="124" s="1"/>
  <c r="K71" i="124"/>
  <c r="L71" i="124" s="1"/>
  <c r="J71" i="124"/>
  <c r="Q68" i="124"/>
  <c r="AB68" i="124" s="1"/>
  <c r="Q67" i="124"/>
  <c r="P66" i="124"/>
  <c r="P69" i="124" s="1"/>
  <c r="M66" i="124"/>
  <c r="N66" i="124" s="1"/>
  <c r="N69" i="124" s="1"/>
  <c r="K66" i="124"/>
  <c r="L66" i="124" s="1"/>
  <c r="J66" i="124"/>
  <c r="J69" i="124" s="1"/>
  <c r="Q63" i="124"/>
  <c r="P62" i="124"/>
  <c r="M62" i="124"/>
  <c r="N62" i="124" s="1"/>
  <c r="K62" i="124"/>
  <c r="L62" i="124" s="1"/>
  <c r="J62" i="124"/>
  <c r="Q61" i="124"/>
  <c r="P60" i="124"/>
  <c r="M60" i="124"/>
  <c r="N60" i="124" s="1"/>
  <c r="K60" i="124"/>
  <c r="L60" i="124" s="1"/>
  <c r="J60" i="124"/>
  <c r="P59" i="124"/>
  <c r="P64" i="124" s="1"/>
  <c r="M59" i="124"/>
  <c r="N59" i="124" s="1"/>
  <c r="K59" i="124"/>
  <c r="L59" i="124" s="1"/>
  <c r="J59" i="124"/>
  <c r="Q56" i="124"/>
  <c r="Q55" i="124"/>
  <c r="P54" i="124"/>
  <c r="M54" i="124"/>
  <c r="N54" i="124" s="1"/>
  <c r="K54" i="124"/>
  <c r="L54" i="124" s="1"/>
  <c r="J54" i="124"/>
  <c r="Q53" i="124"/>
  <c r="P52" i="124"/>
  <c r="M52" i="124"/>
  <c r="N52" i="124" s="1"/>
  <c r="K52" i="124"/>
  <c r="L52" i="124" s="1"/>
  <c r="J52" i="124"/>
  <c r="P49" i="124"/>
  <c r="N49" i="124"/>
  <c r="M49" i="124"/>
  <c r="K49" i="124"/>
  <c r="L49" i="124" s="1"/>
  <c r="J49" i="124"/>
  <c r="P48" i="124"/>
  <c r="P50" i="124" s="1"/>
  <c r="M48" i="124"/>
  <c r="N48" i="124" s="1"/>
  <c r="K48" i="124"/>
  <c r="L48" i="124" s="1"/>
  <c r="J48" i="124"/>
  <c r="J50" i="124" s="1"/>
  <c r="Q47" i="124"/>
  <c r="Q46" i="124"/>
  <c r="P43" i="124"/>
  <c r="P44" i="124" s="1"/>
  <c r="M43" i="124"/>
  <c r="N43" i="124" s="1"/>
  <c r="N44" i="124" s="1"/>
  <c r="K43" i="124"/>
  <c r="L43" i="124" s="1"/>
  <c r="L44" i="124" s="1"/>
  <c r="J43" i="124"/>
  <c r="J44" i="124" s="1"/>
  <c r="Q42" i="124"/>
  <c r="Q41" i="124"/>
  <c r="Q40" i="124"/>
  <c r="Q39" i="124"/>
  <c r="Q36" i="124"/>
  <c r="P35" i="124"/>
  <c r="M35" i="124"/>
  <c r="N35" i="124" s="1"/>
  <c r="K35" i="124"/>
  <c r="L35" i="124" s="1"/>
  <c r="J35" i="124"/>
  <c r="P34" i="124"/>
  <c r="M34" i="124"/>
  <c r="N34" i="124" s="1"/>
  <c r="K34" i="124"/>
  <c r="L34" i="124" s="1"/>
  <c r="J34" i="124"/>
  <c r="Q33" i="124"/>
  <c r="Q32" i="124"/>
  <c r="P31" i="124"/>
  <c r="M31" i="124"/>
  <c r="N31" i="124" s="1"/>
  <c r="K31" i="124"/>
  <c r="L31" i="124" s="1"/>
  <c r="J31" i="124"/>
  <c r="J37" i="124" s="1"/>
  <c r="Q28" i="124"/>
  <c r="P27" i="124"/>
  <c r="M27" i="124"/>
  <c r="N27" i="124" s="1"/>
  <c r="K27" i="124"/>
  <c r="L27" i="124" s="1"/>
  <c r="J27" i="124"/>
  <c r="P26" i="124"/>
  <c r="M26" i="124"/>
  <c r="N26" i="124" s="1"/>
  <c r="K26" i="124"/>
  <c r="L26" i="124" s="1"/>
  <c r="J26" i="124"/>
  <c r="Q25" i="124"/>
  <c r="P24" i="124"/>
  <c r="M24" i="124"/>
  <c r="N24" i="124" s="1"/>
  <c r="K24" i="124"/>
  <c r="L24" i="124" s="1"/>
  <c r="J24" i="124"/>
  <c r="Q23" i="124"/>
  <c r="Q20" i="124"/>
  <c r="P19" i="124"/>
  <c r="M19" i="124"/>
  <c r="N19" i="124" s="1"/>
  <c r="K19" i="124"/>
  <c r="L19" i="124" s="1"/>
  <c r="J19" i="124"/>
  <c r="P18" i="124"/>
  <c r="M18" i="124"/>
  <c r="N18" i="124" s="1"/>
  <c r="N21" i="124" s="1"/>
  <c r="K18" i="124"/>
  <c r="L18" i="124" s="1"/>
  <c r="J18" i="124"/>
  <c r="J21" i="124" s="1"/>
  <c r="Q17" i="124"/>
  <c r="P15" i="124"/>
  <c r="N15" i="124"/>
  <c r="L15" i="124"/>
  <c r="J15" i="124"/>
  <c r="Q14" i="124"/>
  <c r="Q13" i="124"/>
  <c r="Q12" i="124"/>
  <c r="Q11" i="124"/>
  <c r="Y83" i="123"/>
  <c r="W83" i="123"/>
  <c r="U83" i="123"/>
  <c r="Q83" i="123"/>
  <c r="Z82" i="123"/>
  <c r="Y82" i="123"/>
  <c r="W82" i="123"/>
  <c r="U82" i="123"/>
  <c r="Q82" i="123"/>
  <c r="W81" i="123"/>
  <c r="P81" i="123"/>
  <c r="P84" i="123" s="1"/>
  <c r="M81" i="123"/>
  <c r="N81" i="123" s="1"/>
  <c r="N84" i="123" s="1"/>
  <c r="K81" i="123"/>
  <c r="L81" i="123" s="1"/>
  <c r="L84" i="123" s="1"/>
  <c r="J81" i="123"/>
  <c r="J84" i="123" s="1"/>
  <c r="P79" i="123"/>
  <c r="N79" i="123"/>
  <c r="L79" i="123"/>
  <c r="J79" i="123"/>
  <c r="Y78" i="123"/>
  <c r="W78" i="123"/>
  <c r="U78" i="123"/>
  <c r="S78" i="123"/>
  <c r="Q78" i="123"/>
  <c r="Y77" i="123"/>
  <c r="W77" i="123"/>
  <c r="U77" i="123"/>
  <c r="Q77" i="123"/>
  <c r="Z76" i="123"/>
  <c r="Y76" i="123"/>
  <c r="W76" i="123"/>
  <c r="U76" i="123"/>
  <c r="S76" i="123"/>
  <c r="Q76" i="123"/>
  <c r="Z73" i="123"/>
  <c r="Z74" i="123" s="1"/>
  <c r="Y73" i="123"/>
  <c r="Y74" i="123" s="1"/>
  <c r="W73" i="123"/>
  <c r="U73" i="123"/>
  <c r="U74" i="123" s="1"/>
  <c r="R73" i="123"/>
  <c r="S73" i="123" s="1"/>
  <c r="S74" i="123" s="1"/>
  <c r="Q73" i="123"/>
  <c r="W72" i="123"/>
  <c r="AA72" i="123" s="1"/>
  <c r="P72" i="123"/>
  <c r="N72" i="123"/>
  <c r="M72" i="123"/>
  <c r="L72" i="123"/>
  <c r="K72" i="123"/>
  <c r="J72" i="123"/>
  <c r="J74" i="123" s="1"/>
  <c r="W71" i="123"/>
  <c r="AA71" i="123" s="1"/>
  <c r="P71" i="123"/>
  <c r="N71" i="123"/>
  <c r="M71" i="123"/>
  <c r="K71" i="123"/>
  <c r="L71" i="123" s="1"/>
  <c r="J71" i="123"/>
  <c r="Z69" i="123"/>
  <c r="Y68" i="123"/>
  <c r="W68" i="123"/>
  <c r="U68" i="123"/>
  <c r="R68" i="123"/>
  <c r="S68" i="123" s="1"/>
  <c r="Q68" i="123"/>
  <c r="Y67" i="123"/>
  <c r="W67" i="123"/>
  <c r="U67" i="123"/>
  <c r="R67" i="123"/>
  <c r="S67" i="123" s="1"/>
  <c r="Q67" i="123"/>
  <c r="W66" i="123"/>
  <c r="AA66" i="123" s="1"/>
  <c r="P66" i="123"/>
  <c r="P69" i="123" s="1"/>
  <c r="M66" i="123"/>
  <c r="N66" i="123" s="1"/>
  <c r="N69" i="123" s="1"/>
  <c r="K66" i="123"/>
  <c r="L66" i="123" s="1"/>
  <c r="L69" i="123" s="1"/>
  <c r="J66" i="123"/>
  <c r="Z63" i="123"/>
  <c r="Y63" i="123"/>
  <c r="W63" i="123"/>
  <c r="U63" i="123"/>
  <c r="R63" i="123"/>
  <c r="S63" i="123" s="1"/>
  <c r="Q63" i="123"/>
  <c r="W62" i="123"/>
  <c r="AA62" i="123" s="1"/>
  <c r="P62" i="123"/>
  <c r="N62" i="123"/>
  <c r="M62" i="123"/>
  <c r="L62" i="123"/>
  <c r="Q62" i="123" s="1"/>
  <c r="K62" i="123"/>
  <c r="J62" i="123"/>
  <c r="Z61" i="123"/>
  <c r="Y61" i="123"/>
  <c r="Y64" i="123" s="1"/>
  <c r="W61" i="123"/>
  <c r="U61" i="123"/>
  <c r="R61" i="123"/>
  <c r="S61" i="123" s="1"/>
  <c r="Q61" i="123"/>
  <c r="W60" i="123"/>
  <c r="AA60" i="123" s="1"/>
  <c r="P60" i="123"/>
  <c r="M60" i="123"/>
  <c r="N60" i="123" s="1"/>
  <c r="K60" i="123"/>
  <c r="L60" i="123" s="1"/>
  <c r="J60" i="123"/>
  <c r="W59" i="123"/>
  <c r="P59" i="123"/>
  <c r="M59" i="123"/>
  <c r="N59" i="123" s="1"/>
  <c r="K59" i="123"/>
  <c r="L59" i="123" s="1"/>
  <c r="J59" i="123"/>
  <c r="Y56" i="123"/>
  <c r="W56" i="123"/>
  <c r="U56" i="123"/>
  <c r="R56" i="123"/>
  <c r="S56" i="123" s="1"/>
  <c r="Q56" i="123"/>
  <c r="Z55" i="123"/>
  <c r="Y55" i="123"/>
  <c r="W55" i="123"/>
  <c r="U55" i="123"/>
  <c r="R55" i="123"/>
  <c r="S55" i="123" s="1"/>
  <c r="Q55" i="123"/>
  <c r="W54" i="123"/>
  <c r="AA54" i="123" s="1"/>
  <c r="P54" i="123"/>
  <c r="N54" i="123"/>
  <c r="M54" i="123"/>
  <c r="K54" i="123"/>
  <c r="L54" i="123" s="1"/>
  <c r="J54" i="123"/>
  <c r="Z53" i="123"/>
  <c r="Z57" i="123" s="1"/>
  <c r="Y53" i="123"/>
  <c r="W53" i="123"/>
  <c r="U53" i="123"/>
  <c r="R53" i="123"/>
  <c r="S53" i="123" s="1"/>
  <c r="Q53" i="123"/>
  <c r="W52" i="123"/>
  <c r="P52" i="123"/>
  <c r="M52" i="123"/>
  <c r="N52" i="123" s="1"/>
  <c r="N57" i="123" s="1"/>
  <c r="K52" i="123"/>
  <c r="L52" i="123" s="1"/>
  <c r="J52" i="123"/>
  <c r="J57" i="123" s="1"/>
  <c r="W49" i="123"/>
  <c r="AA49" i="123" s="1"/>
  <c r="P49" i="123"/>
  <c r="M49" i="123"/>
  <c r="N49" i="123" s="1"/>
  <c r="K49" i="123"/>
  <c r="L49" i="123" s="1"/>
  <c r="J49" i="123"/>
  <c r="W48" i="123"/>
  <c r="AA48" i="123" s="1"/>
  <c r="P48" i="123"/>
  <c r="M48" i="123"/>
  <c r="N48" i="123" s="1"/>
  <c r="K48" i="123"/>
  <c r="L48" i="123" s="1"/>
  <c r="J48" i="123"/>
  <c r="Z47" i="123"/>
  <c r="Y47" i="123"/>
  <c r="W47" i="123"/>
  <c r="R47" i="123"/>
  <c r="S47" i="123" s="1"/>
  <c r="Q47" i="123"/>
  <c r="Z46" i="123"/>
  <c r="Y46" i="123"/>
  <c r="W46" i="123"/>
  <c r="U46" i="123"/>
  <c r="R46" i="123"/>
  <c r="S46" i="123" s="1"/>
  <c r="Q46" i="123"/>
  <c r="W43" i="123"/>
  <c r="AA43" i="123" s="1"/>
  <c r="P43" i="123"/>
  <c r="P44" i="123" s="1"/>
  <c r="M43" i="123"/>
  <c r="N43" i="123" s="1"/>
  <c r="N44" i="123" s="1"/>
  <c r="K43" i="123"/>
  <c r="L43" i="123" s="1"/>
  <c r="L44" i="123" s="1"/>
  <c r="J43" i="123"/>
  <c r="J44" i="123" s="1"/>
  <c r="Z42" i="123"/>
  <c r="Y42" i="123"/>
  <c r="W42" i="123"/>
  <c r="U42" i="123"/>
  <c r="R42" i="123"/>
  <c r="S42" i="123" s="1"/>
  <c r="Q42" i="123"/>
  <c r="Y41" i="123"/>
  <c r="W41" i="123"/>
  <c r="U41" i="123"/>
  <c r="S41" i="123"/>
  <c r="Q41" i="123"/>
  <c r="Z40" i="123"/>
  <c r="Y40" i="123"/>
  <c r="W40" i="123"/>
  <c r="U40" i="123"/>
  <c r="R40" i="123"/>
  <c r="S40" i="123" s="1"/>
  <c r="Q40" i="123"/>
  <c r="Y39" i="123"/>
  <c r="W39" i="123"/>
  <c r="U39" i="123"/>
  <c r="R39" i="123"/>
  <c r="S39" i="123" s="1"/>
  <c r="Q39" i="123"/>
  <c r="Z36" i="123"/>
  <c r="Y36" i="123"/>
  <c r="W36" i="123"/>
  <c r="U36" i="123"/>
  <c r="R36" i="123"/>
  <c r="S36" i="123" s="1"/>
  <c r="Q36" i="123"/>
  <c r="W35" i="123"/>
  <c r="AA35" i="123" s="1"/>
  <c r="P35" i="123"/>
  <c r="M35" i="123"/>
  <c r="N35" i="123" s="1"/>
  <c r="K35" i="123"/>
  <c r="L35" i="123" s="1"/>
  <c r="J35" i="123"/>
  <c r="Y34" i="123"/>
  <c r="W34" i="123"/>
  <c r="U34" i="123"/>
  <c r="S34" i="123"/>
  <c r="AA34" i="123" s="1"/>
  <c r="P34" i="123"/>
  <c r="M34" i="123"/>
  <c r="N34" i="123" s="1"/>
  <c r="K34" i="123"/>
  <c r="L34" i="123" s="1"/>
  <c r="J34" i="123"/>
  <c r="Z33" i="123"/>
  <c r="Z37" i="123" s="1"/>
  <c r="Y33" i="123"/>
  <c r="W33" i="123"/>
  <c r="U33" i="123"/>
  <c r="R33" i="123"/>
  <c r="S33" i="123" s="1"/>
  <c r="Q33" i="123"/>
  <c r="Y32" i="123"/>
  <c r="Y37" i="123" s="1"/>
  <c r="W32" i="123"/>
  <c r="U32" i="123"/>
  <c r="R32" i="123"/>
  <c r="S32" i="123" s="1"/>
  <c r="Q32" i="123"/>
  <c r="W31" i="123"/>
  <c r="AA31" i="123" s="1"/>
  <c r="P31" i="123"/>
  <c r="M31" i="123"/>
  <c r="N31" i="123" s="1"/>
  <c r="K31" i="123"/>
  <c r="L31" i="123" s="1"/>
  <c r="J31" i="123"/>
  <c r="Z28" i="123"/>
  <c r="Y28" i="123"/>
  <c r="W28" i="123"/>
  <c r="U28" i="123"/>
  <c r="R28" i="123"/>
  <c r="S28" i="123" s="1"/>
  <c r="Q28" i="123"/>
  <c r="W27" i="123"/>
  <c r="AA27" i="123" s="1"/>
  <c r="P27" i="123"/>
  <c r="M27" i="123"/>
  <c r="N27" i="123" s="1"/>
  <c r="K27" i="123"/>
  <c r="L27" i="123" s="1"/>
  <c r="J27" i="123"/>
  <c r="W26" i="123"/>
  <c r="AA26" i="123" s="1"/>
  <c r="P26" i="123"/>
  <c r="M26" i="123"/>
  <c r="N26" i="123" s="1"/>
  <c r="K26" i="123"/>
  <c r="L26" i="123" s="1"/>
  <c r="J26" i="123"/>
  <c r="Z25" i="123"/>
  <c r="Y25" i="123"/>
  <c r="W25" i="123"/>
  <c r="U25" i="123"/>
  <c r="R25" i="123"/>
  <c r="S25" i="123" s="1"/>
  <c r="Q25" i="123"/>
  <c r="W24" i="123"/>
  <c r="AA24" i="123" s="1"/>
  <c r="P24" i="123"/>
  <c r="M24" i="123"/>
  <c r="N24" i="123" s="1"/>
  <c r="K24" i="123"/>
  <c r="L24" i="123" s="1"/>
  <c r="J24" i="123"/>
  <c r="Y23" i="123"/>
  <c r="W23" i="123"/>
  <c r="U23" i="123"/>
  <c r="R23" i="123"/>
  <c r="S23" i="123" s="1"/>
  <c r="Q23" i="123"/>
  <c r="Z20" i="123"/>
  <c r="Z21" i="123" s="1"/>
  <c r="Y20" i="123"/>
  <c r="W20" i="123"/>
  <c r="U20" i="123"/>
  <c r="Q20" i="123"/>
  <c r="W19" i="123"/>
  <c r="AA19" i="123" s="1"/>
  <c r="P19" i="123"/>
  <c r="M19" i="123"/>
  <c r="N19" i="123" s="1"/>
  <c r="K19" i="123"/>
  <c r="L19" i="123" s="1"/>
  <c r="J19" i="123"/>
  <c r="W18" i="123"/>
  <c r="P18" i="123"/>
  <c r="M18" i="123"/>
  <c r="N18" i="123" s="1"/>
  <c r="K18" i="123"/>
  <c r="L18" i="123" s="1"/>
  <c r="J18" i="123"/>
  <c r="Y17" i="123"/>
  <c r="W17" i="123"/>
  <c r="U17" i="123"/>
  <c r="R17" i="123"/>
  <c r="S17" i="123" s="1"/>
  <c r="Q17" i="123"/>
  <c r="P15" i="123"/>
  <c r="N15" i="123"/>
  <c r="L15" i="123"/>
  <c r="J15" i="123"/>
  <c r="Z14" i="123"/>
  <c r="Y14" i="123"/>
  <c r="W14" i="123"/>
  <c r="U14" i="123"/>
  <c r="R14" i="123"/>
  <c r="S14" i="123" s="1"/>
  <c r="Q14" i="123"/>
  <c r="Z13" i="123"/>
  <c r="Y13" i="123"/>
  <c r="W13" i="123"/>
  <c r="U13" i="123"/>
  <c r="R13" i="123"/>
  <c r="S13" i="123" s="1"/>
  <c r="Q13" i="123"/>
  <c r="Y12" i="123"/>
  <c r="W12" i="123"/>
  <c r="U12" i="123"/>
  <c r="R12" i="123"/>
  <c r="S12" i="123" s="1"/>
  <c r="Q12" i="123"/>
  <c r="Y11" i="123"/>
  <c r="W11" i="123"/>
  <c r="U11" i="123"/>
  <c r="R11" i="123"/>
  <c r="S11" i="123" s="1"/>
  <c r="Q11" i="123"/>
  <c r="Q83" i="122"/>
  <c r="AB83" i="122" s="1"/>
  <c r="Q82" i="122"/>
  <c r="P81" i="122"/>
  <c r="P84" i="122" s="1"/>
  <c r="M81" i="122"/>
  <c r="N81" i="122" s="1"/>
  <c r="N84" i="122" s="1"/>
  <c r="K81" i="122"/>
  <c r="L81" i="122" s="1"/>
  <c r="L84" i="122" s="1"/>
  <c r="J81" i="122"/>
  <c r="J84" i="122" s="1"/>
  <c r="P79" i="122"/>
  <c r="N79" i="122"/>
  <c r="L79" i="122"/>
  <c r="J79" i="122"/>
  <c r="Q78" i="122"/>
  <c r="Q77" i="122"/>
  <c r="Q76" i="122"/>
  <c r="Q73" i="122"/>
  <c r="P72" i="122"/>
  <c r="M72" i="122"/>
  <c r="N72" i="122" s="1"/>
  <c r="K72" i="122"/>
  <c r="L72" i="122" s="1"/>
  <c r="J72" i="122"/>
  <c r="P71" i="122"/>
  <c r="M71" i="122"/>
  <c r="N71" i="122" s="1"/>
  <c r="K71" i="122"/>
  <c r="L71" i="122" s="1"/>
  <c r="J71" i="122"/>
  <c r="P69" i="122"/>
  <c r="Q68" i="122"/>
  <c r="Q67" i="122"/>
  <c r="P66" i="122"/>
  <c r="N66" i="122"/>
  <c r="N69" i="122" s="1"/>
  <c r="M66" i="122"/>
  <c r="K66" i="122"/>
  <c r="L66" i="122" s="1"/>
  <c r="L69" i="122" s="1"/>
  <c r="J66" i="122"/>
  <c r="J69" i="122" s="1"/>
  <c r="Q63" i="122"/>
  <c r="P62" i="122"/>
  <c r="M62" i="122"/>
  <c r="N62" i="122" s="1"/>
  <c r="K62" i="122"/>
  <c r="L62" i="122" s="1"/>
  <c r="J62" i="122"/>
  <c r="Q61" i="122"/>
  <c r="P60" i="122"/>
  <c r="M60" i="122"/>
  <c r="N60" i="122" s="1"/>
  <c r="K60" i="122"/>
  <c r="L60" i="122" s="1"/>
  <c r="J60" i="122"/>
  <c r="P59" i="122"/>
  <c r="M59" i="122"/>
  <c r="N59" i="122" s="1"/>
  <c r="K59" i="122"/>
  <c r="L59" i="122" s="1"/>
  <c r="J59" i="122"/>
  <c r="Q56" i="122"/>
  <c r="Q55" i="122"/>
  <c r="P54" i="122"/>
  <c r="M54" i="122"/>
  <c r="N54" i="122" s="1"/>
  <c r="K54" i="122"/>
  <c r="L54" i="122" s="1"/>
  <c r="J54" i="122"/>
  <c r="Q53" i="122"/>
  <c r="P52" i="122"/>
  <c r="P57" i="122" s="1"/>
  <c r="M52" i="122"/>
  <c r="N52" i="122" s="1"/>
  <c r="N57" i="122" s="1"/>
  <c r="L52" i="122"/>
  <c r="K52" i="122"/>
  <c r="J52" i="122"/>
  <c r="P49" i="122"/>
  <c r="P50" i="122" s="1"/>
  <c r="M49" i="122"/>
  <c r="N49" i="122" s="1"/>
  <c r="K49" i="122"/>
  <c r="L49" i="122" s="1"/>
  <c r="J49" i="122"/>
  <c r="P48" i="122"/>
  <c r="M48" i="122"/>
  <c r="N48" i="122" s="1"/>
  <c r="N50" i="122" s="1"/>
  <c r="K48" i="122"/>
  <c r="L48" i="122" s="1"/>
  <c r="L50" i="122" s="1"/>
  <c r="J48" i="122"/>
  <c r="Q47" i="122"/>
  <c r="Q46" i="122"/>
  <c r="P43" i="122"/>
  <c r="P44" i="122" s="1"/>
  <c r="M43" i="122"/>
  <c r="N43" i="122" s="1"/>
  <c r="N44" i="122" s="1"/>
  <c r="K43" i="122"/>
  <c r="L43" i="122" s="1"/>
  <c r="L44" i="122" s="1"/>
  <c r="J43" i="122"/>
  <c r="J44" i="122" s="1"/>
  <c r="Q42" i="122"/>
  <c r="Q41" i="122"/>
  <c r="Q40" i="122"/>
  <c r="Q39" i="122"/>
  <c r="Q36" i="122"/>
  <c r="P35" i="122"/>
  <c r="M35" i="122"/>
  <c r="N35" i="122" s="1"/>
  <c r="K35" i="122"/>
  <c r="L35" i="122" s="1"/>
  <c r="J35" i="122"/>
  <c r="P34" i="122"/>
  <c r="M34" i="122"/>
  <c r="N34" i="122" s="1"/>
  <c r="K34" i="122"/>
  <c r="L34" i="122" s="1"/>
  <c r="J34" i="122"/>
  <c r="Q33" i="122"/>
  <c r="Q32" i="122"/>
  <c r="P31" i="122"/>
  <c r="M31" i="122"/>
  <c r="N31" i="122" s="1"/>
  <c r="L31" i="122"/>
  <c r="K31" i="122"/>
  <c r="J31" i="122"/>
  <c r="Q28" i="122"/>
  <c r="P27" i="122"/>
  <c r="M27" i="122"/>
  <c r="N27" i="122" s="1"/>
  <c r="L27" i="122"/>
  <c r="K27" i="122"/>
  <c r="J27" i="122"/>
  <c r="P26" i="122"/>
  <c r="M26" i="122"/>
  <c r="N26" i="122" s="1"/>
  <c r="K26" i="122"/>
  <c r="L26" i="122" s="1"/>
  <c r="J26" i="122"/>
  <c r="Q25" i="122"/>
  <c r="P24" i="122"/>
  <c r="M24" i="122"/>
  <c r="N24" i="122" s="1"/>
  <c r="K24" i="122"/>
  <c r="L24" i="122" s="1"/>
  <c r="J24" i="122"/>
  <c r="Q23" i="122"/>
  <c r="Q20" i="122"/>
  <c r="P19" i="122"/>
  <c r="M19" i="122"/>
  <c r="N19" i="122" s="1"/>
  <c r="L19" i="122"/>
  <c r="K19" i="122"/>
  <c r="J19" i="122"/>
  <c r="P18" i="122"/>
  <c r="M18" i="122"/>
  <c r="N18" i="122" s="1"/>
  <c r="K18" i="122"/>
  <c r="L18" i="122" s="1"/>
  <c r="J18" i="122"/>
  <c r="Q17" i="122"/>
  <c r="P15" i="122"/>
  <c r="N15" i="122"/>
  <c r="L15" i="122"/>
  <c r="J15" i="122"/>
  <c r="Q14" i="122"/>
  <c r="Q13" i="122"/>
  <c r="Q12" i="122"/>
  <c r="Q11" i="122"/>
  <c r="Q82" i="121"/>
  <c r="Q81" i="121"/>
  <c r="P80" i="121"/>
  <c r="P83" i="121" s="1"/>
  <c r="M80" i="121"/>
  <c r="N80" i="121" s="1"/>
  <c r="N83" i="121" s="1"/>
  <c r="K80" i="121"/>
  <c r="L80" i="121" s="1"/>
  <c r="L83" i="121" s="1"/>
  <c r="J80" i="121"/>
  <c r="J83" i="121" s="1"/>
  <c r="P78" i="121"/>
  <c r="N78" i="121"/>
  <c r="L78" i="121"/>
  <c r="J78" i="121"/>
  <c r="Q77" i="121"/>
  <c r="Q76" i="121"/>
  <c r="Q75" i="121"/>
  <c r="Q72" i="121"/>
  <c r="P71" i="121"/>
  <c r="N71" i="121"/>
  <c r="M71" i="121"/>
  <c r="K71" i="121"/>
  <c r="L71" i="121" s="1"/>
  <c r="J71" i="121"/>
  <c r="P70" i="121"/>
  <c r="N70" i="121"/>
  <c r="M70" i="121"/>
  <c r="K70" i="121"/>
  <c r="L70" i="121" s="1"/>
  <c r="L73" i="121" s="1"/>
  <c r="J70" i="121"/>
  <c r="Q67" i="121"/>
  <c r="AB67" i="121" s="1"/>
  <c r="Q66" i="121"/>
  <c r="P65" i="121"/>
  <c r="P68" i="121" s="1"/>
  <c r="M65" i="121"/>
  <c r="N65" i="121" s="1"/>
  <c r="N68" i="121" s="1"/>
  <c r="K65" i="121"/>
  <c r="L65" i="121" s="1"/>
  <c r="L68" i="121" s="1"/>
  <c r="J65" i="121"/>
  <c r="Q62" i="121"/>
  <c r="AB62" i="121" s="1"/>
  <c r="P61" i="121"/>
  <c r="M61" i="121"/>
  <c r="N61" i="121" s="1"/>
  <c r="K61" i="121"/>
  <c r="L61" i="121" s="1"/>
  <c r="J61" i="121"/>
  <c r="Q60" i="121"/>
  <c r="P59" i="121"/>
  <c r="M59" i="121"/>
  <c r="N59" i="121" s="1"/>
  <c r="K59" i="121"/>
  <c r="L59" i="121" s="1"/>
  <c r="J59" i="121"/>
  <c r="P58" i="121"/>
  <c r="M58" i="121"/>
  <c r="N58" i="121" s="1"/>
  <c r="K58" i="121"/>
  <c r="L58" i="121" s="1"/>
  <c r="J58" i="121"/>
  <c r="Q55" i="121"/>
  <c r="AB55" i="121" s="1"/>
  <c r="P54" i="121"/>
  <c r="M54" i="121"/>
  <c r="N54" i="121" s="1"/>
  <c r="K54" i="121"/>
  <c r="L54" i="121" s="1"/>
  <c r="J54" i="121"/>
  <c r="Q53" i="121"/>
  <c r="P52" i="121"/>
  <c r="M52" i="121"/>
  <c r="N52" i="121" s="1"/>
  <c r="K52" i="121"/>
  <c r="L52" i="121" s="1"/>
  <c r="J52" i="121"/>
  <c r="P49" i="121"/>
  <c r="M49" i="121"/>
  <c r="N49" i="121" s="1"/>
  <c r="K49" i="121"/>
  <c r="L49" i="121" s="1"/>
  <c r="J49" i="121"/>
  <c r="P48" i="121"/>
  <c r="M48" i="121"/>
  <c r="N48" i="121" s="1"/>
  <c r="N50" i="121" s="1"/>
  <c r="K48" i="121"/>
  <c r="L48" i="121" s="1"/>
  <c r="J48" i="121"/>
  <c r="Q47" i="121"/>
  <c r="Q46" i="121"/>
  <c r="P43" i="121"/>
  <c r="P44" i="121" s="1"/>
  <c r="M43" i="121"/>
  <c r="N43" i="121" s="1"/>
  <c r="N44" i="121" s="1"/>
  <c r="K43" i="121"/>
  <c r="L43" i="121" s="1"/>
  <c r="L44" i="121" s="1"/>
  <c r="J43" i="121"/>
  <c r="J44" i="121" s="1"/>
  <c r="Q42" i="121"/>
  <c r="Q41" i="121"/>
  <c r="Q40" i="121"/>
  <c r="Q39" i="121"/>
  <c r="Q36" i="121"/>
  <c r="P35" i="121"/>
  <c r="M35" i="121"/>
  <c r="N35" i="121" s="1"/>
  <c r="K35" i="121"/>
  <c r="L35" i="121" s="1"/>
  <c r="J35" i="121"/>
  <c r="P34" i="121"/>
  <c r="M34" i="121"/>
  <c r="N34" i="121" s="1"/>
  <c r="K34" i="121"/>
  <c r="L34" i="121" s="1"/>
  <c r="J34" i="121"/>
  <c r="Q33" i="121"/>
  <c r="Q32" i="121"/>
  <c r="P31" i="121"/>
  <c r="M31" i="121"/>
  <c r="N31" i="121" s="1"/>
  <c r="K31" i="121"/>
  <c r="L31" i="121" s="1"/>
  <c r="J31" i="121"/>
  <c r="Q28" i="121"/>
  <c r="P27" i="121"/>
  <c r="M27" i="121"/>
  <c r="N27" i="121" s="1"/>
  <c r="K27" i="121"/>
  <c r="L27" i="121" s="1"/>
  <c r="J27" i="121"/>
  <c r="P26" i="121"/>
  <c r="M26" i="121"/>
  <c r="N26" i="121" s="1"/>
  <c r="K26" i="121"/>
  <c r="L26" i="121" s="1"/>
  <c r="J26" i="121"/>
  <c r="Q25" i="121"/>
  <c r="P24" i="121"/>
  <c r="M24" i="121"/>
  <c r="N24" i="121" s="1"/>
  <c r="K24" i="121"/>
  <c r="L24" i="121" s="1"/>
  <c r="J24" i="121"/>
  <c r="Q23" i="121"/>
  <c r="Q20" i="121"/>
  <c r="P19" i="121"/>
  <c r="M19" i="121"/>
  <c r="N19" i="121" s="1"/>
  <c r="K19" i="121"/>
  <c r="L19" i="121" s="1"/>
  <c r="J19" i="121"/>
  <c r="P18" i="121"/>
  <c r="M18" i="121"/>
  <c r="N18" i="121" s="1"/>
  <c r="K18" i="121"/>
  <c r="L18" i="121" s="1"/>
  <c r="J18" i="121"/>
  <c r="Q17" i="121"/>
  <c r="P15" i="121"/>
  <c r="N15" i="121"/>
  <c r="L15" i="121"/>
  <c r="J15" i="121"/>
  <c r="Q14" i="121"/>
  <c r="Q13" i="121"/>
  <c r="Q12" i="121"/>
  <c r="AB12" i="121" s="1"/>
  <c r="Q11" i="121"/>
  <c r="Q82" i="120"/>
  <c r="Q81" i="120"/>
  <c r="P80" i="120"/>
  <c r="P83" i="120" s="1"/>
  <c r="M80" i="120"/>
  <c r="N80" i="120" s="1"/>
  <c r="N83" i="120" s="1"/>
  <c r="K80" i="120"/>
  <c r="L80" i="120" s="1"/>
  <c r="J80" i="120"/>
  <c r="P78" i="120"/>
  <c r="N78" i="120"/>
  <c r="L78" i="120"/>
  <c r="J78" i="120"/>
  <c r="Q77" i="120"/>
  <c r="Q76" i="120"/>
  <c r="AB76" i="120" s="1"/>
  <c r="Q75" i="120"/>
  <c r="Q72" i="120"/>
  <c r="P71" i="120"/>
  <c r="M71" i="120"/>
  <c r="N71" i="120" s="1"/>
  <c r="K71" i="120"/>
  <c r="L71" i="120" s="1"/>
  <c r="J71" i="120"/>
  <c r="P70" i="120"/>
  <c r="M70" i="120"/>
  <c r="N70" i="120" s="1"/>
  <c r="L70" i="120"/>
  <c r="K70" i="120"/>
  <c r="J70" i="120"/>
  <c r="Q67" i="120"/>
  <c r="Q66" i="120"/>
  <c r="P65" i="120"/>
  <c r="P68" i="120" s="1"/>
  <c r="M65" i="120"/>
  <c r="N65" i="120" s="1"/>
  <c r="N68" i="120" s="1"/>
  <c r="L65" i="120"/>
  <c r="L68" i="120" s="1"/>
  <c r="K65" i="120"/>
  <c r="J65" i="120"/>
  <c r="Q62" i="120"/>
  <c r="P61" i="120"/>
  <c r="M61" i="120"/>
  <c r="N61" i="120" s="1"/>
  <c r="K61" i="120"/>
  <c r="L61" i="120" s="1"/>
  <c r="J61" i="120"/>
  <c r="Q60" i="120"/>
  <c r="P59" i="120"/>
  <c r="M59" i="120"/>
  <c r="N59" i="120" s="1"/>
  <c r="K59" i="120"/>
  <c r="L59" i="120" s="1"/>
  <c r="J59" i="120"/>
  <c r="P58" i="120"/>
  <c r="M58" i="120"/>
  <c r="N58" i="120" s="1"/>
  <c r="K58" i="120"/>
  <c r="L58" i="120" s="1"/>
  <c r="J58" i="120"/>
  <c r="Q55" i="120"/>
  <c r="AB55" i="120" s="1"/>
  <c r="P54" i="120"/>
  <c r="M54" i="120"/>
  <c r="N54" i="120" s="1"/>
  <c r="K54" i="120"/>
  <c r="L54" i="120" s="1"/>
  <c r="J54" i="120"/>
  <c r="Q53" i="120"/>
  <c r="P52" i="120"/>
  <c r="P56" i="120" s="1"/>
  <c r="M52" i="120"/>
  <c r="N52" i="120" s="1"/>
  <c r="K52" i="120"/>
  <c r="L52" i="120" s="1"/>
  <c r="J52" i="120"/>
  <c r="J56" i="120" s="1"/>
  <c r="P49" i="120"/>
  <c r="M49" i="120"/>
  <c r="N49" i="120" s="1"/>
  <c r="K49" i="120"/>
  <c r="L49" i="120" s="1"/>
  <c r="J49" i="120"/>
  <c r="P48" i="120"/>
  <c r="M48" i="120"/>
  <c r="N48" i="120" s="1"/>
  <c r="K48" i="120"/>
  <c r="L48" i="120" s="1"/>
  <c r="J48" i="120"/>
  <c r="Q47" i="120"/>
  <c r="Q46" i="120"/>
  <c r="P43" i="120"/>
  <c r="P44" i="120" s="1"/>
  <c r="M43" i="120"/>
  <c r="N43" i="120" s="1"/>
  <c r="N44" i="120" s="1"/>
  <c r="K43" i="120"/>
  <c r="L43" i="120" s="1"/>
  <c r="L44" i="120" s="1"/>
  <c r="J43" i="120"/>
  <c r="Q42" i="120"/>
  <c r="Q41" i="120"/>
  <c r="Q40" i="120"/>
  <c r="Q39" i="120"/>
  <c r="Q36" i="120"/>
  <c r="P35" i="120"/>
  <c r="M35" i="120"/>
  <c r="N35" i="120" s="1"/>
  <c r="K35" i="120"/>
  <c r="L35" i="120" s="1"/>
  <c r="J35" i="120"/>
  <c r="P34" i="120"/>
  <c r="M34" i="120"/>
  <c r="N34" i="120" s="1"/>
  <c r="K34" i="120"/>
  <c r="L34" i="120" s="1"/>
  <c r="J34" i="120"/>
  <c r="Q33" i="120"/>
  <c r="Q32" i="120"/>
  <c r="P31" i="120"/>
  <c r="M31" i="120"/>
  <c r="N31" i="120" s="1"/>
  <c r="K31" i="120"/>
  <c r="L31" i="120" s="1"/>
  <c r="J31" i="120"/>
  <c r="Q28" i="120"/>
  <c r="P27" i="120"/>
  <c r="M27" i="120"/>
  <c r="N27" i="120" s="1"/>
  <c r="K27" i="120"/>
  <c r="L27" i="120" s="1"/>
  <c r="J27" i="120"/>
  <c r="P26" i="120"/>
  <c r="M26" i="120"/>
  <c r="N26" i="120" s="1"/>
  <c r="K26" i="120"/>
  <c r="L26" i="120" s="1"/>
  <c r="J26" i="120"/>
  <c r="Q25" i="120"/>
  <c r="P24" i="120"/>
  <c r="M24" i="120"/>
  <c r="N24" i="120" s="1"/>
  <c r="K24" i="120"/>
  <c r="L24" i="120" s="1"/>
  <c r="J24" i="120"/>
  <c r="J29" i="120" s="1"/>
  <c r="Q23" i="120"/>
  <c r="Q20" i="120"/>
  <c r="P19" i="120"/>
  <c r="M19" i="120"/>
  <c r="N19" i="120" s="1"/>
  <c r="K19" i="120"/>
  <c r="L19" i="120" s="1"/>
  <c r="J19" i="120"/>
  <c r="P18" i="120"/>
  <c r="M18" i="120"/>
  <c r="N18" i="120" s="1"/>
  <c r="K18" i="120"/>
  <c r="L18" i="120" s="1"/>
  <c r="J18" i="120"/>
  <c r="Q17" i="120"/>
  <c r="P15" i="120"/>
  <c r="N15" i="120"/>
  <c r="L15" i="120"/>
  <c r="J15" i="120"/>
  <c r="Q14" i="120"/>
  <c r="Q13" i="120"/>
  <c r="Q12" i="120"/>
  <c r="Q11" i="120"/>
  <c r="M8" i="15"/>
  <c r="K7" i="15"/>
  <c r="M7" i="15" s="1"/>
  <c r="D6" i="41"/>
  <c r="L64" i="123" l="1"/>
  <c r="S64" i="123"/>
  <c r="AB56" i="124"/>
  <c r="L21" i="120"/>
  <c r="Q31" i="120"/>
  <c r="AB31" i="120" s="1"/>
  <c r="Z15" i="123"/>
  <c r="S37" i="123"/>
  <c r="P74" i="124"/>
  <c r="P64" i="125"/>
  <c r="Z64" i="125"/>
  <c r="AB77" i="120"/>
  <c r="Y85" i="124"/>
  <c r="P29" i="124"/>
  <c r="AB33" i="124"/>
  <c r="L56" i="121"/>
  <c r="P37" i="122"/>
  <c r="Z44" i="123"/>
  <c r="Z44" i="125"/>
  <c r="AB40" i="121"/>
  <c r="AB82" i="120"/>
  <c r="AB41" i="122"/>
  <c r="W85" i="124"/>
  <c r="N37" i="121"/>
  <c r="Q27" i="122"/>
  <c r="AB27" i="122" s="1"/>
  <c r="J21" i="125"/>
  <c r="Z57" i="125"/>
  <c r="P37" i="121"/>
  <c r="P56" i="121"/>
  <c r="Q54" i="122"/>
  <c r="AB54" i="122" s="1"/>
  <c r="Q19" i="124"/>
  <c r="AB19" i="124" s="1"/>
  <c r="AB61" i="122"/>
  <c r="Q15" i="125"/>
  <c r="J57" i="125"/>
  <c r="AB47" i="120"/>
  <c r="L21" i="122"/>
  <c r="S64" i="125"/>
  <c r="W84" i="125"/>
  <c r="AB60" i="121"/>
  <c r="J74" i="124"/>
  <c r="Y69" i="125"/>
  <c r="AB66" i="120"/>
  <c r="AB12" i="124"/>
  <c r="P29" i="120"/>
  <c r="Q35" i="120"/>
  <c r="AB35" i="120" s="1"/>
  <c r="L63" i="120"/>
  <c r="J74" i="122"/>
  <c r="L29" i="122"/>
  <c r="Q24" i="122"/>
  <c r="AB24" i="122" s="1"/>
  <c r="AB25" i="124"/>
  <c r="L50" i="120"/>
  <c r="N63" i="120"/>
  <c r="Q15" i="121"/>
  <c r="Q26" i="121"/>
  <c r="AB26" i="121" s="1"/>
  <c r="Y29" i="123"/>
  <c r="Z29" i="123"/>
  <c r="Q66" i="123"/>
  <c r="Q69" i="123" s="1"/>
  <c r="AB33" i="121"/>
  <c r="AB67" i="122"/>
  <c r="AB56" i="122"/>
  <c r="AB67" i="124"/>
  <c r="AB14" i="124"/>
  <c r="AB55" i="124"/>
  <c r="AB62" i="120"/>
  <c r="N29" i="120"/>
  <c r="Q26" i="120"/>
  <c r="AB26" i="120" s="1"/>
  <c r="Q43" i="120"/>
  <c r="AB43" i="120" s="1"/>
  <c r="Q54" i="120"/>
  <c r="AB54" i="120" s="1"/>
  <c r="Q59" i="120"/>
  <c r="AB59" i="120" s="1"/>
  <c r="Q19" i="121"/>
  <c r="AB19" i="121" s="1"/>
  <c r="P29" i="122"/>
  <c r="Q34" i="122"/>
  <c r="AB34" i="122" s="1"/>
  <c r="Q79" i="123"/>
  <c r="Q15" i="124"/>
  <c r="P21" i="124"/>
  <c r="AB76" i="121"/>
  <c r="AA83" i="120"/>
  <c r="AB36" i="120"/>
  <c r="AB32" i="122"/>
  <c r="AB36" i="122"/>
  <c r="AB28" i="124"/>
  <c r="Q35" i="123"/>
  <c r="AB35" i="123" s="1"/>
  <c r="Q80" i="120"/>
  <c r="AB80" i="120" s="1"/>
  <c r="AB83" i="120" s="1"/>
  <c r="Q48" i="122"/>
  <c r="L57" i="122"/>
  <c r="Q62" i="122"/>
  <c r="AB62" i="122" s="1"/>
  <c r="N64" i="123"/>
  <c r="N37" i="124"/>
  <c r="Q59" i="124"/>
  <c r="AB59" i="124" s="1"/>
  <c r="N21" i="125"/>
  <c r="N29" i="125"/>
  <c r="W79" i="125"/>
  <c r="AB72" i="120"/>
  <c r="AB33" i="120"/>
  <c r="AB53" i="122"/>
  <c r="AB28" i="122"/>
  <c r="AB77" i="121"/>
  <c r="AB28" i="120"/>
  <c r="Z84" i="121"/>
  <c r="N73" i="121"/>
  <c r="P64" i="123"/>
  <c r="P37" i="124"/>
  <c r="AB82" i="121"/>
  <c r="AB78" i="122"/>
  <c r="AB61" i="124"/>
  <c r="AB47" i="121"/>
  <c r="AB47" i="122"/>
  <c r="AB32" i="124"/>
  <c r="AB37" i="124" s="1"/>
  <c r="AB77" i="124"/>
  <c r="AB81" i="121"/>
  <c r="AB32" i="121"/>
  <c r="L37" i="120"/>
  <c r="Q26" i="122"/>
  <c r="AB26" i="122" s="1"/>
  <c r="L57" i="123"/>
  <c r="W64" i="123"/>
  <c r="Q31" i="124"/>
  <c r="AB31" i="124" s="1"/>
  <c r="N50" i="125"/>
  <c r="N57" i="125"/>
  <c r="Z79" i="125"/>
  <c r="AB12" i="120"/>
  <c r="AB41" i="120"/>
  <c r="AB28" i="121"/>
  <c r="AB77" i="122"/>
  <c r="AB17" i="122"/>
  <c r="S85" i="124"/>
  <c r="AB14" i="120"/>
  <c r="AB53" i="121"/>
  <c r="AB42" i="122"/>
  <c r="AB36" i="124"/>
  <c r="AB14" i="121"/>
  <c r="P63" i="120"/>
  <c r="N37" i="120"/>
  <c r="Q15" i="123"/>
  <c r="Q31" i="123"/>
  <c r="AA36" i="123"/>
  <c r="AA59" i="123"/>
  <c r="S69" i="123"/>
  <c r="N57" i="124"/>
  <c r="AB40" i="120"/>
  <c r="AB13" i="120"/>
  <c r="AB76" i="122"/>
  <c r="AB63" i="124"/>
  <c r="AB41" i="124"/>
  <c r="AB78" i="124"/>
  <c r="AB20" i="121"/>
  <c r="N56" i="120"/>
  <c r="Q52" i="122"/>
  <c r="Y57" i="125"/>
  <c r="L7" i="15"/>
  <c r="P37" i="120"/>
  <c r="Q78" i="121"/>
  <c r="N74" i="122"/>
  <c r="Q60" i="123"/>
  <c r="AB60" i="123" s="1"/>
  <c r="Z84" i="123"/>
  <c r="P57" i="124"/>
  <c r="W57" i="125"/>
  <c r="AB20" i="122"/>
  <c r="AB73" i="122"/>
  <c r="AB14" i="122"/>
  <c r="AB82" i="124"/>
  <c r="AB83" i="124"/>
  <c r="AB40" i="122"/>
  <c r="AB40" i="124"/>
  <c r="AB13" i="124"/>
  <c r="N7" i="15"/>
  <c r="Q27" i="120"/>
  <c r="AB27" i="120" s="1"/>
  <c r="Q61" i="120"/>
  <c r="AB61" i="120" s="1"/>
  <c r="Q78" i="120"/>
  <c r="Q35" i="121"/>
  <c r="AB35" i="121" s="1"/>
  <c r="Q35" i="122"/>
  <c r="AB35" i="122" s="1"/>
  <c r="Q49" i="122"/>
  <c r="AB49" i="122" s="1"/>
  <c r="N64" i="122"/>
  <c r="P74" i="122"/>
  <c r="P57" i="123"/>
  <c r="Z64" i="123"/>
  <c r="AA63" i="123"/>
  <c r="AB63" i="123" s="1"/>
  <c r="Q34" i="124"/>
  <c r="AB34" i="124" s="1"/>
  <c r="N50" i="124"/>
  <c r="AB66" i="121"/>
  <c r="AB60" i="120"/>
  <c r="AB25" i="120"/>
  <c r="AB25" i="121"/>
  <c r="AB68" i="122"/>
  <c r="AB12" i="122"/>
  <c r="AB42" i="124"/>
  <c r="AB20" i="124"/>
  <c r="J64" i="125"/>
  <c r="Q15" i="120"/>
  <c r="J37" i="120"/>
  <c r="J21" i="121"/>
  <c r="J37" i="121"/>
  <c r="L37" i="122"/>
  <c r="P64" i="122"/>
  <c r="Q54" i="123"/>
  <c r="N74" i="123"/>
  <c r="AB32" i="120"/>
  <c r="AB42" i="121"/>
  <c r="AB23" i="120"/>
  <c r="AB82" i="122"/>
  <c r="AB73" i="124"/>
  <c r="AA73" i="121"/>
  <c r="AB33" i="122"/>
  <c r="AB55" i="122"/>
  <c r="AB25" i="122"/>
  <c r="AB36" i="121"/>
  <c r="Q34" i="120"/>
  <c r="AB34" i="120" s="1"/>
  <c r="J83" i="120"/>
  <c r="P29" i="121"/>
  <c r="N63" i="121"/>
  <c r="L21" i="123"/>
  <c r="P37" i="123"/>
  <c r="L29" i="124"/>
  <c r="Q54" i="124"/>
  <c r="AB54" i="124" s="1"/>
  <c r="W21" i="125"/>
  <c r="P21" i="125"/>
  <c r="AB72" i="121"/>
  <c r="AB81" i="120"/>
  <c r="AB41" i="121"/>
  <c r="AB20" i="120"/>
  <c r="AB63" i="122"/>
  <c r="AB67" i="120"/>
  <c r="AB13" i="121"/>
  <c r="AB13" i="122"/>
  <c r="AB47" i="124"/>
  <c r="AB42" i="120"/>
  <c r="AB75" i="121"/>
  <c r="U85" i="124"/>
  <c r="W29" i="125"/>
  <c r="L37" i="125"/>
  <c r="Q34" i="125"/>
  <c r="AB34" i="125" s="1"/>
  <c r="Y37" i="125"/>
  <c r="Z37" i="125"/>
  <c r="W37" i="125"/>
  <c r="Y79" i="125"/>
  <c r="Y84" i="125"/>
  <c r="J74" i="125"/>
  <c r="L74" i="125"/>
  <c r="P50" i="125"/>
  <c r="Q49" i="125"/>
  <c r="AB49" i="125" s="1"/>
  <c r="Q43" i="125"/>
  <c r="AB43" i="125" s="1"/>
  <c r="AA31" i="125"/>
  <c r="J29" i="125"/>
  <c r="P29" i="125"/>
  <c r="Q27" i="125"/>
  <c r="Q26" i="125"/>
  <c r="AB26" i="125" s="1"/>
  <c r="Y15" i="125"/>
  <c r="W15" i="125"/>
  <c r="Y85" i="122"/>
  <c r="Q19" i="122"/>
  <c r="AB19" i="122" s="1"/>
  <c r="W85" i="122"/>
  <c r="N21" i="122"/>
  <c r="P21" i="122"/>
  <c r="S85" i="122"/>
  <c r="AA14" i="123"/>
  <c r="AB14" i="123" s="1"/>
  <c r="Y50" i="123"/>
  <c r="W79" i="123"/>
  <c r="Y79" i="123"/>
  <c r="Y84" i="123"/>
  <c r="L74" i="123"/>
  <c r="Q72" i="123"/>
  <c r="AB72" i="123" s="1"/>
  <c r="P74" i="123"/>
  <c r="W74" i="123"/>
  <c r="Y69" i="123"/>
  <c r="W69" i="123"/>
  <c r="Q49" i="123"/>
  <c r="AB49" i="123" s="1"/>
  <c r="J50" i="123"/>
  <c r="W50" i="123"/>
  <c r="Z50" i="123"/>
  <c r="Q43" i="123"/>
  <c r="AB43" i="123" s="1"/>
  <c r="AA42" i="123"/>
  <c r="AB42" i="123" s="1"/>
  <c r="W44" i="123"/>
  <c r="Y44" i="123"/>
  <c r="J37" i="123"/>
  <c r="J29" i="123"/>
  <c r="L29" i="123"/>
  <c r="P29" i="123"/>
  <c r="W29" i="123"/>
  <c r="Y21" i="123"/>
  <c r="J21" i="123"/>
  <c r="P21" i="123"/>
  <c r="Q19" i="123"/>
  <c r="AB19" i="123" s="1"/>
  <c r="W15" i="123"/>
  <c r="Y15" i="123"/>
  <c r="Q61" i="121"/>
  <c r="AB61" i="121" s="1"/>
  <c r="Q59" i="121"/>
  <c r="AB59" i="121" s="1"/>
  <c r="J63" i="121"/>
  <c r="P63" i="121"/>
  <c r="J73" i="120"/>
  <c r="J21" i="120"/>
  <c r="P21" i="120"/>
  <c r="J50" i="120"/>
  <c r="P73" i="120"/>
  <c r="Y84" i="120"/>
  <c r="AA68" i="120"/>
  <c r="Q65" i="120"/>
  <c r="N50" i="120"/>
  <c r="P50" i="120"/>
  <c r="Q49" i="120"/>
  <c r="AB49" i="120" s="1"/>
  <c r="N21" i="120"/>
  <c r="Q19" i="120"/>
  <c r="AB19" i="120" s="1"/>
  <c r="W84" i="120"/>
  <c r="AA83" i="121"/>
  <c r="J73" i="121"/>
  <c r="P73" i="121"/>
  <c r="P50" i="121"/>
  <c r="Q49" i="121"/>
  <c r="AB49" i="121" s="1"/>
  <c r="J50" i="121"/>
  <c r="Y84" i="121"/>
  <c r="W84" i="121"/>
  <c r="P21" i="121"/>
  <c r="AA84" i="124"/>
  <c r="AB39" i="124"/>
  <c r="AA44" i="124"/>
  <c r="AA69" i="124"/>
  <c r="AA21" i="124"/>
  <c r="AB17" i="124"/>
  <c r="AB53" i="124"/>
  <c r="AA57" i="124"/>
  <c r="AA74" i="124"/>
  <c r="AA64" i="124"/>
  <c r="AA29" i="124"/>
  <c r="AB23" i="124"/>
  <c r="AA79" i="124"/>
  <c r="AB76" i="124"/>
  <c r="AB79" i="124" s="1"/>
  <c r="AA37" i="124"/>
  <c r="AB11" i="124"/>
  <c r="AA15" i="124"/>
  <c r="AB46" i="124"/>
  <c r="AA50" i="124"/>
  <c r="AA14" i="125"/>
  <c r="AB14" i="125" s="1"/>
  <c r="AA12" i="123"/>
  <c r="AB12" i="123" s="1"/>
  <c r="AA21" i="122"/>
  <c r="U64" i="123"/>
  <c r="AA79" i="122"/>
  <c r="AB79" i="122"/>
  <c r="U85" i="122"/>
  <c r="AA44" i="122"/>
  <c r="AB39" i="122"/>
  <c r="AA57" i="122"/>
  <c r="AB52" i="122"/>
  <c r="AA50" i="122"/>
  <c r="AB46" i="122"/>
  <c r="AA29" i="122"/>
  <c r="AB23" i="122"/>
  <c r="AA64" i="122"/>
  <c r="AB59" i="122"/>
  <c r="AA37" i="122"/>
  <c r="AA69" i="122"/>
  <c r="AA74" i="122"/>
  <c r="AB11" i="122"/>
  <c r="AA15" i="122"/>
  <c r="AA84" i="122"/>
  <c r="U84" i="120"/>
  <c r="AA29" i="120"/>
  <c r="AB37" i="120"/>
  <c r="U84" i="121"/>
  <c r="AB46" i="121"/>
  <c r="AB39" i="120"/>
  <c r="AA44" i="120"/>
  <c r="AA37" i="120"/>
  <c r="AA78" i="120"/>
  <c r="AB75" i="120"/>
  <c r="AA21" i="120"/>
  <c r="AB17" i="120"/>
  <c r="AB53" i="120"/>
  <c r="AA56" i="120"/>
  <c r="AA73" i="120"/>
  <c r="S84" i="120"/>
  <c r="AB46" i="120"/>
  <c r="AA50" i="120"/>
  <c r="AA63" i="120"/>
  <c r="AA15" i="120"/>
  <c r="AB11" i="120"/>
  <c r="AA15" i="121"/>
  <c r="AB11" i="121"/>
  <c r="AB17" i="121"/>
  <c r="AA21" i="121"/>
  <c r="AA29" i="121"/>
  <c r="AB23" i="121"/>
  <c r="AA68" i="121"/>
  <c r="AA78" i="121"/>
  <c r="AA37" i="121"/>
  <c r="S84" i="121"/>
  <c r="AA44" i="121"/>
  <c r="AB39" i="121"/>
  <c r="Y44" i="125"/>
  <c r="AA39" i="125"/>
  <c r="AB39" i="125" s="1"/>
  <c r="W50" i="125"/>
  <c r="Y50" i="125"/>
  <c r="Z50" i="125"/>
  <c r="S50" i="125"/>
  <c r="W69" i="125"/>
  <c r="P74" i="125"/>
  <c r="U21" i="125"/>
  <c r="AA20" i="125"/>
  <c r="AB20" i="125" s="1"/>
  <c r="AA25" i="125"/>
  <c r="AB25" i="125" s="1"/>
  <c r="AA28" i="125"/>
  <c r="AB28" i="125" s="1"/>
  <c r="U29" i="125"/>
  <c r="AA41" i="125"/>
  <c r="AB41" i="125" s="1"/>
  <c r="AA42" i="125"/>
  <c r="AB42" i="125" s="1"/>
  <c r="AA47" i="125"/>
  <c r="AB47" i="125" s="1"/>
  <c r="U50" i="125"/>
  <c r="AA56" i="125"/>
  <c r="AB56" i="125" s="1"/>
  <c r="U69" i="125"/>
  <c r="AA68" i="125"/>
  <c r="AB68" i="125" s="1"/>
  <c r="AA77" i="125"/>
  <c r="AB77" i="125" s="1"/>
  <c r="U79" i="125"/>
  <c r="AA78" i="125"/>
  <c r="AB78" i="125" s="1"/>
  <c r="S84" i="125"/>
  <c r="AA13" i="123"/>
  <c r="AB13" i="123" s="1"/>
  <c r="U37" i="123"/>
  <c r="AB36" i="123"/>
  <c r="U84" i="123"/>
  <c r="U79" i="123"/>
  <c r="AA77" i="123"/>
  <c r="AB77" i="123" s="1"/>
  <c r="U69" i="123"/>
  <c r="AA68" i="123"/>
  <c r="AB68" i="123" s="1"/>
  <c r="AA67" i="123"/>
  <c r="AB67" i="123" s="1"/>
  <c r="AA56" i="123"/>
  <c r="AB56" i="123" s="1"/>
  <c r="AA40" i="123"/>
  <c r="AB40" i="123" s="1"/>
  <c r="AA28" i="123"/>
  <c r="AB28" i="123" s="1"/>
  <c r="AA25" i="123"/>
  <c r="AB25" i="123" s="1"/>
  <c r="AA20" i="123"/>
  <c r="AB20" i="123" s="1"/>
  <c r="U21" i="123"/>
  <c r="Z84" i="125"/>
  <c r="AA83" i="125"/>
  <c r="AB83" i="125" s="1"/>
  <c r="Z79" i="123"/>
  <c r="Q27" i="121"/>
  <c r="AB27" i="121" s="1"/>
  <c r="N56" i="121"/>
  <c r="L37" i="121"/>
  <c r="Q31" i="121"/>
  <c r="AB31" i="121" s="1"/>
  <c r="L29" i="120"/>
  <c r="Q24" i="120"/>
  <c r="AB24" i="120" s="1"/>
  <c r="Q52" i="120"/>
  <c r="L56" i="120"/>
  <c r="N73" i="120"/>
  <c r="Q70" i="120"/>
  <c r="AB70" i="120" s="1"/>
  <c r="Q34" i="121"/>
  <c r="AB34" i="121" s="1"/>
  <c r="Q24" i="121"/>
  <c r="AB24" i="121" s="1"/>
  <c r="L83" i="120"/>
  <c r="L73" i="120"/>
  <c r="Q71" i="120"/>
  <c r="AB71" i="120" s="1"/>
  <c r="L21" i="121"/>
  <c r="L29" i="121"/>
  <c r="N21" i="121"/>
  <c r="N29" i="121"/>
  <c r="L50" i="121"/>
  <c r="Q48" i="121"/>
  <c r="AB48" i="121" s="1"/>
  <c r="Q54" i="121"/>
  <c r="AB54" i="121" s="1"/>
  <c r="Q37" i="120"/>
  <c r="Q44" i="120"/>
  <c r="Q58" i="120"/>
  <c r="L63" i="121"/>
  <c r="Q58" i="121"/>
  <c r="L74" i="122"/>
  <c r="Q71" i="122"/>
  <c r="AB71" i="122" s="1"/>
  <c r="N29" i="123"/>
  <c r="Q24" i="123"/>
  <c r="AB24" i="123" s="1"/>
  <c r="J44" i="120"/>
  <c r="Q80" i="121"/>
  <c r="S21" i="123"/>
  <c r="AA17" i="123"/>
  <c r="J63" i="120"/>
  <c r="Q71" i="121"/>
  <c r="AB71" i="121" s="1"/>
  <c r="Q66" i="122"/>
  <c r="Q69" i="122" s="1"/>
  <c r="Q34" i="123"/>
  <c r="AB34" i="123" s="1"/>
  <c r="U57" i="123"/>
  <c r="Q59" i="123"/>
  <c r="J64" i="123"/>
  <c r="Q72" i="122"/>
  <c r="AB72" i="122" s="1"/>
  <c r="Q81" i="122"/>
  <c r="AA55" i="123"/>
  <c r="AB55" i="123" s="1"/>
  <c r="Q48" i="120"/>
  <c r="AB48" i="120" s="1"/>
  <c r="J56" i="121"/>
  <c r="J37" i="122"/>
  <c r="Q57" i="122"/>
  <c r="Q60" i="122"/>
  <c r="AB60" i="122" s="1"/>
  <c r="Q27" i="123"/>
  <c r="AB27" i="123" s="1"/>
  <c r="S50" i="123"/>
  <c r="AA46" i="123"/>
  <c r="L50" i="123"/>
  <c r="Q48" i="123"/>
  <c r="Q50" i="123" s="1"/>
  <c r="Q15" i="122"/>
  <c r="Q43" i="122"/>
  <c r="AA23" i="123"/>
  <c r="AB23" i="123" s="1"/>
  <c r="S29" i="123"/>
  <c r="AB31" i="123"/>
  <c r="AA39" i="123"/>
  <c r="S44" i="123"/>
  <c r="U50" i="123"/>
  <c r="N50" i="123"/>
  <c r="Q59" i="122"/>
  <c r="L64" i="122"/>
  <c r="Q18" i="121"/>
  <c r="AB18" i="121" s="1"/>
  <c r="J29" i="121"/>
  <c r="Q43" i="121"/>
  <c r="Q70" i="121"/>
  <c r="AB70" i="121" s="1"/>
  <c r="AA11" i="123"/>
  <c r="U29" i="123"/>
  <c r="U44" i="123"/>
  <c r="AA41" i="123"/>
  <c r="AB41" i="123" s="1"/>
  <c r="P50" i="123"/>
  <c r="J68" i="120"/>
  <c r="J29" i="122"/>
  <c r="N37" i="122"/>
  <c r="Q31" i="122"/>
  <c r="AB31" i="122" s="1"/>
  <c r="U15" i="123"/>
  <c r="L37" i="123"/>
  <c r="Q65" i="121"/>
  <c r="Q79" i="122"/>
  <c r="N21" i="123"/>
  <c r="N37" i="123"/>
  <c r="AA33" i="123"/>
  <c r="AB33" i="123" s="1"/>
  <c r="Q66" i="124"/>
  <c r="Q69" i="124" s="1"/>
  <c r="L69" i="124"/>
  <c r="Q18" i="120"/>
  <c r="AB18" i="120" s="1"/>
  <c r="J21" i="122"/>
  <c r="Q18" i="122"/>
  <c r="AB18" i="122" s="1"/>
  <c r="Q52" i="123"/>
  <c r="Q57" i="123" s="1"/>
  <c r="Q52" i="121"/>
  <c r="N29" i="122"/>
  <c r="S15" i="123"/>
  <c r="AA18" i="123"/>
  <c r="W21" i="123"/>
  <c r="Q26" i="123"/>
  <c r="AB26" i="123" s="1"/>
  <c r="W37" i="123"/>
  <c r="AA47" i="123"/>
  <c r="AB47" i="123" s="1"/>
  <c r="J50" i="122"/>
  <c r="W57" i="123"/>
  <c r="AA52" i="123"/>
  <c r="S84" i="123"/>
  <c r="AA82" i="123"/>
  <c r="AB82" i="123" s="1"/>
  <c r="Q35" i="124"/>
  <c r="AB35" i="124" s="1"/>
  <c r="Q81" i="124"/>
  <c r="J84" i="124"/>
  <c r="P37" i="125"/>
  <c r="J57" i="122"/>
  <c r="AA32" i="123"/>
  <c r="Q27" i="124"/>
  <c r="AB27" i="124" s="1"/>
  <c r="Q72" i="124"/>
  <c r="AB72" i="124" s="1"/>
  <c r="S15" i="125"/>
  <c r="AA13" i="125"/>
  <c r="AB13" i="125" s="1"/>
  <c r="AA23" i="125"/>
  <c r="S29" i="125"/>
  <c r="Q35" i="125"/>
  <c r="AB35" i="125" s="1"/>
  <c r="S57" i="125"/>
  <c r="AA55" i="125"/>
  <c r="AB55" i="125" s="1"/>
  <c r="AA63" i="125"/>
  <c r="AB63" i="125" s="1"/>
  <c r="S79" i="125"/>
  <c r="AA76" i="125"/>
  <c r="AA82" i="125"/>
  <c r="AB82" i="125" s="1"/>
  <c r="AA73" i="123"/>
  <c r="AA74" i="123" s="1"/>
  <c r="U15" i="125"/>
  <c r="U57" i="125"/>
  <c r="AA53" i="125"/>
  <c r="AB53" i="125" s="1"/>
  <c r="Q59" i="125"/>
  <c r="L64" i="125"/>
  <c r="U64" i="125"/>
  <c r="AA61" i="125"/>
  <c r="AB61" i="125" s="1"/>
  <c r="J64" i="122"/>
  <c r="S57" i="123"/>
  <c r="L50" i="124"/>
  <c r="L64" i="124"/>
  <c r="L21" i="125"/>
  <c r="S37" i="125"/>
  <c r="AA32" i="125"/>
  <c r="AB32" i="125" s="1"/>
  <c r="J50" i="125"/>
  <c r="Q48" i="125"/>
  <c r="N64" i="125"/>
  <c r="S69" i="125"/>
  <c r="AB59" i="123"/>
  <c r="AB62" i="123"/>
  <c r="L37" i="124"/>
  <c r="N64" i="124"/>
  <c r="AB27" i="125"/>
  <c r="U37" i="125"/>
  <c r="U44" i="125"/>
  <c r="AA73" i="125"/>
  <c r="AB73" i="125" s="1"/>
  <c r="S74" i="125"/>
  <c r="Q81" i="125"/>
  <c r="Q84" i="125" s="1"/>
  <c r="J68" i="121"/>
  <c r="Q81" i="123"/>
  <c r="Q84" i="123" s="1"/>
  <c r="P85" i="124"/>
  <c r="W44" i="125"/>
  <c r="L50" i="125"/>
  <c r="W64" i="125"/>
  <c r="AB54" i="123"/>
  <c r="AA83" i="123"/>
  <c r="AB83" i="123" s="1"/>
  <c r="Q48" i="124"/>
  <c r="Q52" i="124"/>
  <c r="AB52" i="124" s="1"/>
  <c r="Q18" i="125"/>
  <c r="AB18" i="125" s="1"/>
  <c r="AA36" i="125"/>
  <c r="AB36" i="125" s="1"/>
  <c r="Q54" i="125"/>
  <c r="AB54" i="125" s="1"/>
  <c r="Q62" i="125"/>
  <c r="AB62" i="125" s="1"/>
  <c r="N74" i="125"/>
  <c r="Q71" i="125"/>
  <c r="Q18" i="123"/>
  <c r="Y57" i="123"/>
  <c r="Q71" i="123"/>
  <c r="S79" i="123"/>
  <c r="AA76" i="123"/>
  <c r="AA78" i="123"/>
  <c r="AB78" i="123" s="1"/>
  <c r="L21" i="124"/>
  <c r="Q24" i="124"/>
  <c r="AB24" i="124" s="1"/>
  <c r="L57" i="124"/>
  <c r="Q60" i="124"/>
  <c r="AB60" i="124" s="1"/>
  <c r="L74" i="124"/>
  <c r="AA12" i="125"/>
  <c r="AB12" i="125" s="1"/>
  <c r="Q31" i="125"/>
  <c r="AA46" i="125"/>
  <c r="L57" i="125"/>
  <c r="Q52" i="125"/>
  <c r="Q57" i="125" s="1"/>
  <c r="Q60" i="125"/>
  <c r="AB60" i="125" s="1"/>
  <c r="Q26" i="124"/>
  <c r="AB26" i="124" s="1"/>
  <c r="Q37" i="124"/>
  <c r="Q24" i="125"/>
  <c r="AB24" i="125" s="1"/>
  <c r="L29" i="125"/>
  <c r="AA33" i="125"/>
  <c r="AB33" i="125" s="1"/>
  <c r="Q66" i="125"/>
  <c r="Q69" i="125" s="1"/>
  <c r="W74" i="125"/>
  <c r="AA53" i="123"/>
  <c r="AB53" i="123" s="1"/>
  <c r="AB66" i="123"/>
  <c r="W84" i="123"/>
  <c r="AA81" i="123"/>
  <c r="N29" i="124"/>
  <c r="Q49" i="124"/>
  <c r="AB49" i="124" s="1"/>
  <c r="Q62" i="124"/>
  <c r="AB62" i="124" s="1"/>
  <c r="N74" i="124"/>
  <c r="S21" i="125"/>
  <c r="Q19" i="125"/>
  <c r="AB19" i="125" s="1"/>
  <c r="AA40" i="125"/>
  <c r="AB40" i="125" s="1"/>
  <c r="Q72" i="125"/>
  <c r="AB72" i="125" s="1"/>
  <c r="U84" i="125"/>
  <c r="AA11" i="125"/>
  <c r="J37" i="125"/>
  <c r="AA71" i="125"/>
  <c r="AA61" i="123"/>
  <c r="J57" i="124"/>
  <c r="AA17" i="125"/>
  <c r="Q43" i="124"/>
  <c r="AB43" i="124" s="1"/>
  <c r="AA52" i="125"/>
  <c r="J69" i="125"/>
  <c r="J69" i="123"/>
  <c r="Q18" i="124"/>
  <c r="AB18" i="124" s="1"/>
  <c r="J29" i="124"/>
  <c r="J64" i="124"/>
  <c r="Q71" i="124"/>
  <c r="AB71" i="124" s="1"/>
  <c r="AB74" i="124" s="1"/>
  <c r="AA59" i="125"/>
  <c r="AA67" i="125"/>
  <c r="AB67" i="125" s="1"/>
  <c r="S44" i="125"/>
  <c r="Q44" i="125" l="1"/>
  <c r="AB29" i="122"/>
  <c r="AB64" i="124"/>
  <c r="N85" i="125"/>
  <c r="Q29" i="122"/>
  <c r="AB29" i="120"/>
  <c r="AB37" i="122"/>
  <c r="N84" i="121"/>
  <c r="L85" i="122"/>
  <c r="AB21" i="124"/>
  <c r="AB78" i="120"/>
  <c r="AB64" i="122"/>
  <c r="AB74" i="122"/>
  <c r="AB44" i="120"/>
  <c r="Q50" i="125"/>
  <c r="AB18" i="123"/>
  <c r="N85" i="124"/>
  <c r="AB66" i="124"/>
  <c r="AB69" i="124" s="1"/>
  <c r="Q64" i="123"/>
  <c r="Q56" i="120"/>
  <c r="AB52" i="120"/>
  <c r="AB56" i="120" s="1"/>
  <c r="AC56" i="120" s="1"/>
  <c r="Q44" i="122"/>
  <c r="AB43" i="122"/>
  <c r="AB15" i="121"/>
  <c r="AB29" i="124"/>
  <c r="AB44" i="124"/>
  <c r="AB29" i="121"/>
  <c r="P85" i="122"/>
  <c r="AB15" i="120"/>
  <c r="AB78" i="121"/>
  <c r="Q84" i="122"/>
  <c r="AB81" i="122"/>
  <c r="AB84" i="122" s="1"/>
  <c r="Q84" i="124"/>
  <c r="AB81" i="124"/>
  <c r="AB84" i="124" s="1"/>
  <c r="Q37" i="123"/>
  <c r="AB37" i="121"/>
  <c r="AB15" i="122"/>
  <c r="AC15" i="122" s="1"/>
  <c r="AB57" i="122"/>
  <c r="P85" i="123"/>
  <c r="Q64" i="125"/>
  <c r="Q63" i="120"/>
  <c r="AB58" i="120"/>
  <c r="AB63" i="120" s="1"/>
  <c r="Q83" i="120"/>
  <c r="Q50" i="124"/>
  <c r="AB48" i="124"/>
  <c r="AB50" i="124" s="1"/>
  <c r="AB85" i="124" s="1"/>
  <c r="L84" i="120"/>
  <c r="AB44" i="122"/>
  <c r="AC44" i="122" s="1"/>
  <c r="J85" i="124"/>
  <c r="AB66" i="122"/>
  <c r="AB69" i="122" s="1"/>
  <c r="AC69" i="122" s="1"/>
  <c r="AB15" i="124"/>
  <c r="AB57" i="124"/>
  <c r="Q50" i="122"/>
  <c r="AB48" i="122"/>
  <c r="AB50" i="122" s="1"/>
  <c r="AB81" i="125"/>
  <c r="AB84" i="125" s="1"/>
  <c r="AB66" i="125"/>
  <c r="N85" i="122"/>
  <c r="AB21" i="122"/>
  <c r="AB48" i="123"/>
  <c r="Z85" i="123"/>
  <c r="Q44" i="123"/>
  <c r="J85" i="123"/>
  <c r="Q29" i="123"/>
  <c r="Y85" i="123"/>
  <c r="Q21" i="123"/>
  <c r="W85" i="123"/>
  <c r="P84" i="121"/>
  <c r="Q63" i="121"/>
  <c r="AB58" i="121"/>
  <c r="AB63" i="121" s="1"/>
  <c r="Q56" i="121"/>
  <c r="AB52" i="121"/>
  <c r="AB56" i="121" s="1"/>
  <c r="AC56" i="121" s="1"/>
  <c r="AB73" i="120"/>
  <c r="P84" i="120"/>
  <c r="Q50" i="120"/>
  <c r="J84" i="120"/>
  <c r="Q68" i="120"/>
  <c r="AB65" i="120"/>
  <c r="AB68" i="120" s="1"/>
  <c r="AB50" i="120"/>
  <c r="N84" i="120"/>
  <c r="AB21" i="120"/>
  <c r="Q83" i="121"/>
  <c r="AB80" i="121"/>
  <c r="AB83" i="121" s="1"/>
  <c r="AB73" i="121"/>
  <c r="Q68" i="121"/>
  <c r="AB65" i="121"/>
  <c r="AB68" i="121" s="1"/>
  <c r="J84" i="121"/>
  <c r="AB50" i="121"/>
  <c r="Q44" i="121"/>
  <c r="AB43" i="121"/>
  <c r="AB44" i="121"/>
  <c r="AB21" i="121"/>
  <c r="AA85" i="124"/>
  <c r="AA21" i="125"/>
  <c r="AA85" i="122"/>
  <c r="AA84" i="121"/>
  <c r="AA84" i="120"/>
  <c r="Y85" i="125"/>
  <c r="AA69" i="123"/>
  <c r="Z85" i="125"/>
  <c r="P85" i="125"/>
  <c r="W85" i="125"/>
  <c r="AA29" i="125"/>
  <c r="AA37" i="125"/>
  <c r="AB44" i="125"/>
  <c r="AB69" i="125"/>
  <c r="AA74" i="125"/>
  <c r="U85" i="125"/>
  <c r="AA84" i="125"/>
  <c r="S85" i="125"/>
  <c r="AB69" i="123"/>
  <c r="AB73" i="123"/>
  <c r="AA29" i="123"/>
  <c r="U85" i="123"/>
  <c r="AB23" i="125"/>
  <c r="AB29" i="125" s="1"/>
  <c r="AC83" i="120"/>
  <c r="Q74" i="122"/>
  <c r="AC37" i="120"/>
  <c r="Q29" i="120"/>
  <c r="AC29" i="120" s="1"/>
  <c r="J85" i="122"/>
  <c r="AC57" i="122"/>
  <c r="AA44" i="123"/>
  <c r="AB39" i="123"/>
  <c r="AB44" i="123" s="1"/>
  <c r="L85" i="123"/>
  <c r="AA57" i="125"/>
  <c r="AB52" i="125"/>
  <c r="AB57" i="125" s="1"/>
  <c r="AA50" i="125"/>
  <c r="AB46" i="125"/>
  <c r="AA79" i="123"/>
  <c r="AB76" i="123"/>
  <c r="AB79" i="123" s="1"/>
  <c r="L85" i="124"/>
  <c r="AB76" i="125"/>
  <c r="AB79" i="125" s="1"/>
  <c r="AA79" i="125"/>
  <c r="Q73" i="121"/>
  <c r="AB46" i="123"/>
  <c r="AA50" i="123"/>
  <c r="Q50" i="121"/>
  <c r="AC78" i="120"/>
  <c r="Q37" i="121"/>
  <c r="Q21" i="122"/>
  <c r="S85" i="123"/>
  <c r="AA21" i="123"/>
  <c r="L84" i="121"/>
  <c r="Q73" i="120"/>
  <c r="AA15" i="125"/>
  <c r="AB11" i="125"/>
  <c r="AB15" i="125" s="1"/>
  <c r="AB31" i="125"/>
  <c r="AB37" i="125" s="1"/>
  <c r="Q37" i="125"/>
  <c r="Q44" i="124"/>
  <c r="AC15" i="120"/>
  <c r="AC44" i="120"/>
  <c r="Q29" i="125"/>
  <c r="Q21" i="125"/>
  <c r="AB17" i="125"/>
  <c r="AB21" i="125" s="1"/>
  <c r="Q74" i="123"/>
  <c r="AB71" i="123"/>
  <c r="L85" i="125"/>
  <c r="AC79" i="124"/>
  <c r="Q29" i="124"/>
  <c r="Q21" i="124"/>
  <c r="Q37" i="122"/>
  <c r="AC37" i="122"/>
  <c r="AC84" i="122"/>
  <c r="AB17" i="123"/>
  <c r="AB21" i="123" s="1"/>
  <c r="AA84" i="123"/>
  <c r="AB81" i="123"/>
  <c r="AB84" i="123" s="1"/>
  <c r="AA64" i="125"/>
  <c r="AB59" i="125"/>
  <c r="AB64" i="125" s="1"/>
  <c r="J85" i="125"/>
  <c r="Q64" i="124"/>
  <c r="AA37" i="123"/>
  <c r="AB32" i="123"/>
  <c r="AB37" i="123" s="1"/>
  <c r="Q21" i="120"/>
  <c r="Q21" i="121"/>
  <c r="AC84" i="124"/>
  <c r="AA57" i="123"/>
  <c r="AB52" i="123"/>
  <c r="AB57" i="123" s="1"/>
  <c r="AA15" i="123"/>
  <c r="AB11" i="123"/>
  <c r="AB15" i="123" s="1"/>
  <c r="AB29" i="123"/>
  <c r="AC69" i="124"/>
  <c r="AC37" i="124"/>
  <c r="AB48" i="125"/>
  <c r="Q74" i="125"/>
  <c r="AB71" i="125"/>
  <c r="AB74" i="125" s="1"/>
  <c r="Q57" i="124"/>
  <c r="AA44" i="125"/>
  <c r="Q64" i="122"/>
  <c r="Q74" i="124"/>
  <c r="AC74" i="124" s="1"/>
  <c r="AB61" i="123"/>
  <c r="AB64" i="123" s="1"/>
  <c r="AA64" i="123"/>
  <c r="AA69" i="125"/>
  <c r="AC63" i="120"/>
  <c r="N85" i="123"/>
  <c r="AC29" i="122"/>
  <c r="Q29" i="121"/>
  <c r="Q85" i="123" l="1"/>
  <c r="AC44" i="124"/>
  <c r="AC29" i="124"/>
  <c r="AB85" i="122"/>
  <c r="AC37" i="121"/>
  <c r="Q85" i="124"/>
  <c r="AC29" i="121"/>
  <c r="AC68" i="120"/>
  <c r="AB50" i="123"/>
  <c r="AC50" i="123" s="1"/>
  <c r="AC21" i="122"/>
  <c r="Q85" i="125"/>
  <c r="Q85" i="122"/>
  <c r="AC69" i="123"/>
  <c r="AB84" i="120"/>
  <c r="Q84" i="120"/>
  <c r="AB84" i="121"/>
  <c r="AC57" i="125"/>
  <c r="AC74" i="125"/>
  <c r="AC29" i="125"/>
  <c r="AC37" i="125"/>
  <c r="AC44" i="125"/>
  <c r="AC64" i="125"/>
  <c r="AC69" i="125"/>
  <c r="AC84" i="125"/>
  <c r="AC79" i="125"/>
  <c r="AC15" i="123"/>
  <c r="AB74" i="123"/>
  <c r="AC37" i="123"/>
  <c r="AC29" i="123"/>
  <c r="AC83" i="121"/>
  <c r="AC21" i="121"/>
  <c r="AC73" i="121"/>
  <c r="AC44" i="121"/>
  <c r="F137" i="118"/>
  <c r="AC78" i="121"/>
  <c r="AC15" i="121"/>
  <c r="AC21" i="123"/>
  <c r="Q84" i="121"/>
  <c r="AC50" i="124"/>
  <c r="AC74" i="122"/>
  <c r="AC15" i="124"/>
  <c r="AC79" i="122"/>
  <c r="AC50" i="122"/>
  <c r="AC21" i="120"/>
  <c r="AC50" i="121"/>
  <c r="AC64" i="124"/>
  <c r="AC57" i="123"/>
  <c r="AC21" i="125"/>
  <c r="AC44" i="123"/>
  <c r="AC15" i="125"/>
  <c r="AA85" i="123"/>
  <c r="AC79" i="123"/>
  <c r="AC50" i="120"/>
  <c r="AC64" i="122"/>
  <c r="AC64" i="123"/>
  <c r="AC73" i="120"/>
  <c r="AC63" i="121"/>
  <c r="AB50" i="125"/>
  <c r="AC21" i="124"/>
  <c r="AA85" i="125"/>
  <c r="AC68" i="121"/>
  <c r="AC57" i="124"/>
  <c r="F8" i="6"/>
  <c r="K8" i="6" s="1"/>
  <c r="AB85" i="123" l="1"/>
  <c r="AC74" i="123"/>
  <c r="AB85" i="125"/>
  <c r="AC50" i="125"/>
  <c r="L9" i="15" l="1"/>
  <c r="L8" i="15"/>
  <c r="L10" i="15" l="1"/>
  <c r="C38" i="111"/>
  <c r="C30" i="111"/>
  <c r="C28" i="111"/>
  <c r="C21" i="111"/>
  <c r="C18" i="111"/>
  <c r="C16" i="111"/>
  <c r="C6" i="111"/>
  <c r="C38" i="110"/>
  <c r="C30" i="110"/>
  <c r="C28" i="110"/>
  <c r="C18" i="110"/>
  <c r="C16" i="110"/>
  <c r="C9" i="110"/>
  <c r="C6" i="110"/>
  <c r="F10" i="22"/>
  <c r="F5" i="22"/>
  <c r="F8" i="22"/>
  <c r="F13" i="22"/>
  <c r="F11" i="22"/>
  <c r="F9" i="22"/>
  <c r="C38" i="107" l="1"/>
  <c r="C28" i="107"/>
  <c r="C16" i="107"/>
  <c r="X16" i="4" l="1"/>
  <c r="E6" i="41" l="1"/>
  <c r="H8" i="6"/>
  <c r="I8" i="6" s="1"/>
  <c r="L8" i="6" s="1"/>
  <c r="N8" i="6"/>
  <c r="N9" i="6" s="1"/>
  <c r="F12" i="6" l="1"/>
  <c r="K12" i="6" s="1"/>
  <c r="N12" i="6"/>
  <c r="F9" i="6"/>
  <c r="K9" i="6" s="1"/>
  <c r="E16" i="6" s="1"/>
  <c r="H12" i="6" l="1"/>
  <c r="I12" i="6" s="1"/>
  <c r="L12" i="6" s="1"/>
  <c r="W15" i="4"/>
  <c r="M194" i="93"/>
  <c r="L194" i="93"/>
  <c r="E194" i="93"/>
  <c r="Z193" i="93"/>
  <c r="K193" i="93"/>
  <c r="O193" i="93" s="1"/>
  <c r="Z192" i="93"/>
  <c r="K192" i="93"/>
  <c r="N192" i="93" s="1"/>
  <c r="Z191" i="93"/>
  <c r="K191" i="93"/>
  <c r="Z190" i="93"/>
  <c r="S190" i="93"/>
  <c r="K190" i="93"/>
  <c r="AG190" i="93" s="1"/>
  <c r="Z189" i="93"/>
  <c r="K189" i="93"/>
  <c r="E187" i="93"/>
  <c r="Z186" i="93"/>
  <c r="K186" i="93"/>
  <c r="AG186" i="93" s="1"/>
  <c r="Z185" i="93"/>
  <c r="K185" i="93"/>
  <c r="AG185" i="93" s="1"/>
  <c r="Z184" i="93"/>
  <c r="K184" i="93"/>
  <c r="AG184" i="93" s="1"/>
  <c r="L182" i="93"/>
  <c r="E182" i="93"/>
  <c r="Z181" i="93"/>
  <c r="K181" i="93"/>
  <c r="AG181" i="93" s="1"/>
  <c r="Z180" i="93"/>
  <c r="K180" i="93"/>
  <c r="AG180" i="93" s="1"/>
  <c r="Z179" i="93"/>
  <c r="U179" i="93"/>
  <c r="K179" i="93"/>
  <c r="Z178" i="93"/>
  <c r="U178" i="93"/>
  <c r="K178" i="93"/>
  <c r="O178" i="93" s="1"/>
  <c r="Z177" i="93"/>
  <c r="U177" i="93"/>
  <c r="K177" i="93"/>
  <c r="AD177" i="93" s="1"/>
  <c r="Z176" i="93"/>
  <c r="K176" i="93"/>
  <c r="Z175" i="93"/>
  <c r="K175" i="93"/>
  <c r="AG175" i="93" s="1"/>
  <c r="Z174" i="93"/>
  <c r="K174" i="93"/>
  <c r="AG174" i="93" s="1"/>
  <c r="E172" i="93"/>
  <c r="K171" i="93"/>
  <c r="AD171" i="93" s="1"/>
  <c r="J171" i="93"/>
  <c r="M171" i="93" s="1"/>
  <c r="K170" i="93"/>
  <c r="AG170" i="93" s="1"/>
  <c r="J170" i="93"/>
  <c r="M170" i="93" s="1"/>
  <c r="K169" i="93"/>
  <c r="AG169" i="93" s="1"/>
  <c r="J169" i="93"/>
  <c r="K168" i="93"/>
  <c r="AG168" i="93" s="1"/>
  <c r="J168" i="93"/>
  <c r="M168" i="93" s="1"/>
  <c r="Z167" i="93"/>
  <c r="K167" i="93"/>
  <c r="AG167" i="93" s="1"/>
  <c r="J167" i="93"/>
  <c r="L167" i="93" s="1"/>
  <c r="Z166" i="93"/>
  <c r="K166" i="93"/>
  <c r="AG166" i="93" s="1"/>
  <c r="J166" i="93"/>
  <c r="M166" i="93" s="1"/>
  <c r="Z165" i="93"/>
  <c r="K165" i="93"/>
  <c r="AG165" i="93" s="1"/>
  <c r="J165" i="93"/>
  <c r="M165" i="93" s="1"/>
  <c r="Z164" i="93"/>
  <c r="K164" i="93"/>
  <c r="AG164" i="93" s="1"/>
  <c r="Z163" i="93"/>
  <c r="K163" i="93"/>
  <c r="AG163" i="93" s="1"/>
  <c r="J163" i="93"/>
  <c r="E161" i="93"/>
  <c r="U160" i="93"/>
  <c r="U161" i="93" s="1"/>
  <c r="K160" i="93"/>
  <c r="J160" i="93"/>
  <c r="K159" i="93"/>
  <c r="AG159" i="93" s="1"/>
  <c r="J159" i="93"/>
  <c r="M159" i="93" s="1"/>
  <c r="Z158" i="93"/>
  <c r="K158" i="93"/>
  <c r="AG158" i="93" s="1"/>
  <c r="J158" i="93"/>
  <c r="Z157" i="93"/>
  <c r="K157" i="93"/>
  <c r="N157" i="93" s="1"/>
  <c r="J157" i="93"/>
  <c r="M157" i="93" s="1"/>
  <c r="Z156" i="93"/>
  <c r="K156" i="93"/>
  <c r="J156" i="93"/>
  <c r="M156" i="93" s="1"/>
  <c r="Z155" i="93"/>
  <c r="K155" i="93"/>
  <c r="AG155" i="93" s="1"/>
  <c r="J155" i="93"/>
  <c r="L153" i="93"/>
  <c r="E153" i="93"/>
  <c r="Z152" i="93"/>
  <c r="K152" i="93"/>
  <c r="AG152" i="93" s="1"/>
  <c r="Z151" i="93"/>
  <c r="K151" i="93"/>
  <c r="AG151" i="93" s="1"/>
  <c r="AC149" i="93"/>
  <c r="AB149" i="93"/>
  <c r="E149" i="93"/>
  <c r="Z148" i="93"/>
  <c r="K148" i="93"/>
  <c r="AG148" i="93" s="1"/>
  <c r="J148" i="93"/>
  <c r="M148" i="93" s="1"/>
  <c r="Z147" i="93"/>
  <c r="K147" i="93"/>
  <c r="J147" i="93"/>
  <c r="M147" i="93" s="1"/>
  <c r="Z146" i="93"/>
  <c r="K146" i="93"/>
  <c r="AG146" i="93" s="1"/>
  <c r="J146" i="93"/>
  <c r="Z145" i="93"/>
  <c r="K145" i="93"/>
  <c r="AD145" i="93" s="1"/>
  <c r="J145" i="93"/>
  <c r="M145" i="93" s="1"/>
  <c r="Z144" i="93"/>
  <c r="K144" i="93"/>
  <c r="J144" i="93"/>
  <c r="Z142" i="93"/>
  <c r="K142" i="93"/>
  <c r="AG142" i="93" s="1"/>
  <c r="J142" i="93"/>
  <c r="W140" i="93"/>
  <c r="U140" i="93"/>
  <c r="Q140" i="93"/>
  <c r="M140" i="93"/>
  <c r="L140" i="93"/>
  <c r="E140" i="93"/>
  <c r="K139" i="93"/>
  <c r="AG139" i="93" s="1"/>
  <c r="J139" i="93"/>
  <c r="K138" i="93"/>
  <c r="J138" i="93"/>
  <c r="K137" i="93"/>
  <c r="AD137" i="93" s="1"/>
  <c r="AE137" i="93" s="1"/>
  <c r="J137" i="93"/>
  <c r="Z136" i="93"/>
  <c r="K136" i="93"/>
  <c r="AG136" i="93" s="1"/>
  <c r="J136" i="93"/>
  <c r="Z135" i="93"/>
  <c r="K135" i="93"/>
  <c r="AG135" i="93" s="1"/>
  <c r="J135" i="93"/>
  <c r="Z134" i="93"/>
  <c r="K134" i="93"/>
  <c r="AG134" i="93" s="1"/>
  <c r="J134" i="93"/>
  <c r="Z133" i="93"/>
  <c r="S133" i="93"/>
  <c r="K133" i="93"/>
  <c r="AG133" i="93" s="1"/>
  <c r="K132" i="93"/>
  <c r="AD132" i="93" s="1"/>
  <c r="J132" i="93"/>
  <c r="K131" i="93"/>
  <c r="AG131" i="93" s="1"/>
  <c r="J131" i="93"/>
  <c r="K130" i="93"/>
  <c r="N130" i="93" s="1"/>
  <c r="J130" i="93"/>
  <c r="Z129" i="93"/>
  <c r="S129" i="93"/>
  <c r="K129" i="93"/>
  <c r="AD129" i="93" s="1"/>
  <c r="Z128" i="93"/>
  <c r="K128" i="93"/>
  <c r="AD128" i="93" s="1"/>
  <c r="J128" i="93"/>
  <c r="Z127" i="93"/>
  <c r="K127" i="93"/>
  <c r="AG127" i="93" s="1"/>
  <c r="J127" i="93"/>
  <c r="Z126" i="93"/>
  <c r="K126" i="93"/>
  <c r="Z125" i="93"/>
  <c r="S125" i="93"/>
  <c r="K125" i="93"/>
  <c r="AG125" i="93" s="1"/>
  <c r="Z124" i="93"/>
  <c r="K124" i="93"/>
  <c r="AG124" i="93" s="1"/>
  <c r="Z123" i="93"/>
  <c r="K123" i="93"/>
  <c r="AG123" i="93" s="1"/>
  <c r="E121" i="93"/>
  <c r="Z120" i="93"/>
  <c r="K120" i="93"/>
  <c r="AG120" i="93" s="1"/>
  <c r="J120" i="93"/>
  <c r="Z119" i="93"/>
  <c r="K119" i="93"/>
  <c r="J119" i="93"/>
  <c r="Z118" i="93"/>
  <c r="K118" i="93"/>
  <c r="J118" i="93"/>
  <c r="Z117" i="93"/>
  <c r="K117" i="93"/>
  <c r="AG117" i="93" s="1"/>
  <c r="J117" i="93"/>
  <c r="Z116" i="93"/>
  <c r="K116" i="93"/>
  <c r="AG116" i="93" s="1"/>
  <c r="Z115" i="93"/>
  <c r="K115" i="93"/>
  <c r="L113" i="93"/>
  <c r="E113" i="93"/>
  <c r="Z112" i="93"/>
  <c r="Q112" i="93"/>
  <c r="Q113" i="93" s="1"/>
  <c r="K112" i="93"/>
  <c r="AG112" i="93" s="1"/>
  <c r="Z111" i="93"/>
  <c r="K111" i="93"/>
  <c r="AG111" i="93" s="1"/>
  <c r="K110" i="93"/>
  <c r="AG110" i="93" s="1"/>
  <c r="K109" i="93"/>
  <c r="AD109" i="93" s="1"/>
  <c r="Z108" i="93"/>
  <c r="K108" i="93"/>
  <c r="AG108" i="93" s="1"/>
  <c r="Z107" i="93"/>
  <c r="K107" i="93"/>
  <c r="Z106" i="93"/>
  <c r="K106" i="93"/>
  <c r="AG106" i="93" s="1"/>
  <c r="Z105" i="93"/>
  <c r="K105" i="93"/>
  <c r="AG105" i="93" s="1"/>
  <c r="Z104" i="93"/>
  <c r="K104" i="93"/>
  <c r="AG104" i="93" s="1"/>
  <c r="Z103" i="93"/>
  <c r="K103" i="93"/>
  <c r="AG103" i="93" s="1"/>
  <c r="Z102" i="93"/>
  <c r="S102" i="93"/>
  <c r="K102" i="93"/>
  <c r="AG102" i="93" s="1"/>
  <c r="Z101" i="93"/>
  <c r="K101" i="93"/>
  <c r="AG101" i="93" s="1"/>
  <c r="M99" i="93"/>
  <c r="L99" i="93"/>
  <c r="E99" i="93"/>
  <c r="Z98" i="93"/>
  <c r="K98" i="93"/>
  <c r="AD98" i="93" s="1"/>
  <c r="Z97" i="93"/>
  <c r="S97" i="93"/>
  <c r="S99" i="93" s="1"/>
  <c r="K97" i="93"/>
  <c r="AG97" i="93" s="1"/>
  <c r="Z96" i="93"/>
  <c r="K96" i="93"/>
  <c r="O96" i="93" s="1"/>
  <c r="Z95" i="93"/>
  <c r="K95" i="93"/>
  <c r="AG95" i="93" s="1"/>
  <c r="Z94" i="93"/>
  <c r="K94" i="93"/>
  <c r="Z93" i="93"/>
  <c r="K93" i="93"/>
  <c r="N93" i="93" s="1"/>
  <c r="S91" i="93"/>
  <c r="R91" i="93"/>
  <c r="Q91" i="93"/>
  <c r="P91" i="93"/>
  <c r="O91" i="93"/>
  <c r="N91" i="93"/>
  <c r="M91" i="93"/>
  <c r="L91" i="93"/>
  <c r="E91" i="93"/>
  <c r="Z90" i="93"/>
  <c r="K90" i="93"/>
  <c r="W89" i="93"/>
  <c r="K89" i="93"/>
  <c r="W88" i="93"/>
  <c r="K88" i="93"/>
  <c r="AG88" i="93" s="1"/>
  <c r="Z87" i="93"/>
  <c r="W87" i="93"/>
  <c r="K87" i="93"/>
  <c r="AD87" i="93" s="1"/>
  <c r="Z86" i="93"/>
  <c r="W86" i="93"/>
  <c r="K86" i="93"/>
  <c r="AA86" i="93" s="1"/>
  <c r="Z85" i="93"/>
  <c r="W85" i="93"/>
  <c r="K85" i="93"/>
  <c r="Z84" i="93"/>
  <c r="W84" i="93"/>
  <c r="K84" i="93"/>
  <c r="AG84" i="93" s="1"/>
  <c r="Z83" i="93"/>
  <c r="W83" i="93"/>
  <c r="K83" i="93"/>
  <c r="AD83" i="93" s="1"/>
  <c r="Z82" i="93"/>
  <c r="W82" i="93"/>
  <c r="K82" i="93"/>
  <c r="AG82" i="93" s="1"/>
  <c r="W81" i="93"/>
  <c r="K81" i="93"/>
  <c r="AG81" i="93" s="1"/>
  <c r="W80" i="93"/>
  <c r="K80" i="93"/>
  <c r="AC80" i="93" s="1"/>
  <c r="W79" i="93"/>
  <c r="K79" i="93"/>
  <c r="Z78" i="93"/>
  <c r="W78" i="93"/>
  <c r="K78" i="93"/>
  <c r="AG78" i="93" s="1"/>
  <c r="Z77" i="93"/>
  <c r="W77" i="93"/>
  <c r="K77" i="93"/>
  <c r="AG77" i="93" s="1"/>
  <c r="Z76" i="93"/>
  <c r="W76" i="93"/>
  <c r="K76" i="93"/>
  <c r="AG76" i="93" s="1"/>
  <c r="Z75" i="93"/>
  <c r="W75" i="93"/>
  <c r="K75" i="93"/>
  <c r="W74" i="93"/>
  <c r="K74" i="93"/>
  <c r="W73" i="93"/>
  <c r="K73" i="93"/>
  <c r="AG73" i="93" s="1"/>
  <c r="W72" i="93"/>
  <c r="K72" i="93"/>
  <c r="AG72" i="93" s="1"/>
  <c r="W71" i="93"/>
  <c r="K71" i="93"/>
  <c r="AG71" i="93" s="1"/>
  <c r="Z70" i="93"/>
  <c r="W70" i="93"/>
  <c r="K70" i="93"/>
  <c r="AG70" i="93" s="1"/>
  <c r="Z69" i="93"/>
  <c r="W69" i="93"/>
  <c r="K69" i="93"/>
  <c r="AG69" i="93" s="1"/>
  <c r="W68" i="93"/>
  <c r="K68" i="93"/>
  <c r="AG68" i="93" s="1"/>
  <c r="W67" i="93"/>
  <c r="K67" i="93"/>
  <c r="AC67" i="93" s="1"/>
  <c r="W66" i="93"/>
  <c r="K66" i="93"/>
  <c r="AG66" i="93" s="1"/>
  <c r="W65" i="93"/>
  <c r="K65" i="93"/>
  <c r="AD65" i="93" s="1"/>
  <c r="Z64" i="93"/>
  <c r="W64" i="93"/>
  <c r="K64" i="93"/>
  <c r="AG64" i="93" s="1"/>
  <c r="Z63" i="93"/>
  <c r="W63" i="93"/>
  <c r="K63" i="93"/>
  <c r="AG63" i="93" s="1"/>
  <c r="W62" i="93"/>
  <c r="K62" i="93"/>
  <c r="AG62" i="93" s="1"/>
  <c r="W61" i="93"/>
  <c r="K61" i="93"/>
  <c r="AG61" i="93" s="1"/>
  <c r="W60" i="93"/>
  <c r="K60" i="93"/>
  <c r="AC60" i="93" s="1"/>
  <c r="W59" i="93"/>
  <c r="K59" i="93"/>
  <c r="AD59" i="93" s="1"/>
  <c r="W58" i="93"/>
  <c r="K58" i="93"/>
  <c r="AG58" i="93" s="1"/>
  <c r="Z57" i="93"/>
  <c r="W57" i="93"/>
  <c r="K57" i="93"/>
  <c r="AG57" i="93" s="1"/>
  <c r="Z56" i="93"/>
  <c r="W56" i="93"/>
  <c r="K56" i="93"/>
  <c r="Z55" i="93"/>
  <c r="K55" i="93"/>
  <c r="AD55" i="93" s="1"/>
  <c r="Z54" i="93"/>
  <c r="K54" i="93"/>
  <c r="AD54" i="93" s="1"/>
  <c r="Z53" i="93"/>
  <c r="K53" i="93"/>
  <c r="AG53" i="93" s="1"/>
  <c r="AD52" i="93"/>
  <c r="Z52" i="93"/>
  <c r="K52" i="93"/>
  <c r="AG52" i="93" s="1"/>
  <c r="Z51" i="93"/>
  <c r="K51" i="93"/>
  <c r="AG51" i="93" s="1"/>
  <c r="Z50" i="93"/>
  <c r="K50" i="93"/>
  <c r="AA50" i="93" s="1"/>
  <c r="AC48" i="93"/>
  <c r="X48" i="93"/>
  <c r="W48" i="93"/>
  <c r="U48" i="93"/>
  <c r="S48" i="93"/>
  <c r="Q48" i="93"/>
  <c r="O48" i="93"/>
  <c r="N48" i="93"/>
  <c r="M48" i="93"/>
  <c r="L48" i="93"/>
  <c r="E48" i="93"/>
  <c r="Z47" i="93"/>
  <c r="K47" i="93"/>
  <c r="AG47" i="93" s="1"/>
  <c r="Z46" i="93"/>
  <c r="K46" i="93"/>
  <c r="AG46" i="93" s="1"/>
  <c r="Z45" i="93"/>
  <c r="K45" i="93"/>
  <c r="AG45" i="93" s="1"/>
  <c r="Z44" i="93"/>
  <c r="K44" i="93"/>
  <c r="AD44" i="93" s="1"/>
  <c r="Z43" i="93"/>
  <c r="K43" i="93"/>
  <c r="Z42" i="93"/>
  <c r="K42" i="93"/>
  <c r="AG42" i="93" s="1"/>
  <c r="AC40" i="93"/>
  <c r="X40" i="93"/>
  <c r="W40" i="93"/>
  <c r="U40" i="93"/>
  <c r="S40" i="93"/>
  <c r="Q40" i="93"/>
  <c r="O40" i="93"/>
  <c r="N40" i="93"/>
  <c r="M40" i="93"/>
  <c r="L40" i="93"/>
  <c r="E40" i="93"/>
  <c r="Z39" i="93"/>
  <c r="K39" i="93"/>
  <c r="AG39" i="93" s="1"/>
  <c r="Z38" i="93"/>
  <c r="K38" i="93"/>
  <c r="Z37" i="93"/>
  <c r="K37" i="93"/>
  <c r="AC35" i="93"/>
  <c r="X35" i="93"/>
  <c r="W35" i="93"/>
  <c r="U35" i="93"/>
  <c r="S35" i="93"/>
  <c r="Q35" i="93"/>
  <c r="O35" i="93"/>
  <c r="N35" i="93"/>
  <c r="M35" i="93"/>
  <c r="L35" i="93"/>
  <c r="E35" i="93"/>
  <c r="Z34" i="93"/>
  <c r="K34" i="93"/>
  <c r="AD34" i="93" s="1"/>
  <c r="Z33" i="93"/>
  <c r="K33" i="93"/>
  <c r="Z32" i="93"/>
  <c r="K32" i="93"/>
  <c r="AD32" i="93" s="1"/>
  <c r="Z31" i="93"/>
  <c r="K31" i="93"/>
  <c r="AD31" i="93" s="1"/>
  <c r="AC29" i="93"/>
  <c r="AB29" i="93"/>
  <c r="X29" i="93"/>
  <c r="W29" i="93"/>
  <c r="U29" i="93"/>
  <c r="S29" i="93"/>
  <c r="Q29" i="93"/>
  <c r="O29" i="93"/>
  <c r="N29" i="93"/>
  <c r="M29" i="93"/>
  <c r="L29" i="93"/>
  <c r="E29" i="93"/>
  <c r="Z28" i="93"/>
  <c r="K28" i="93"/>
  <c r="Z27" i="93"/>
  <c r="K27" i="93"/>
  <c r="AD27" i="93" s="1"/>
  <c r="Z26" i="93"/>
  <c r="K26" i="93"/>
  <c r="AD26" i="93" s="1"/>
  <c r="AC24" i="93"/>
  <c r="AB24" i="93"/>
  <c r="X24" i="93"/>
  <c r="W24" i="93"/>
  <c r="U24" i="93"/>
  <c r="S24" i="93"/>
  <c r="Q24" i="93"/>
  <c r="O24" i="93"/>
  <c r="N24" i="93"/>
  <c r="M24" i="93"/>
  <c r="L24" i="93"/>
  <c r="E24" i="93"/>
  <c r="Z23" i="93"/>
  <c r="K23" i="93"/>
  <c r="AD23" i="93" s="1"/>
  <c r="Z22" i="93"/>
  <c r="K22" i="93"/>
  <c r="AD22" i="93" s="1"/>
  <c r="AC20" i="93"/>
  <c r="X20" i="93"/>
  <c r="W20" i="93"/>
  <c r="U20" i="93"/>
  <c r="S20" i="93"/>
  <c r="Q20" i="93"/>
  <c r="O20" i="93"/>
  <c r="N20" i="93"/>
  <c r="M20" i="93"/>
  <c r="L20" i="93"/>
  <c r="E20" i="93"/>
  <c r="K19" i="93"/>
  <c r="AA19" i="93" s="1"/>
  <c r="K18" i="93"/>
  <c r="AD18" i="93" s="1"/>
  <c r="K17" i="93"/>
  <c r="AD17" i="93" s="1"/>
  <c r="Z16" i="93"/>
  <c r="K16" i="93"/>
  <c r="Z15" i="93"/>
  <c r="K15" i="93"/>
  <c r="AG15" i="93" s="1"/>
  <c r="Z14" i="93"/>
  <c r="K14" i="93"/>
  <c r="AG14" i="93" s="1"/>
  <c r="Z13" i="93"/>
  <c r="K13" i="93"/>
  <c r="AG13" i="93" s="1"/>
  <c r="Z12" i="93"/>
  <c r="K12" i="93"/>
  <c r="AG12" i="93" s="1"/>
  <c r="Z11" i="93"/>
  <c r="K11" i="93"/>
  <c r="AG11" i="93" s="1"/>
  <c r="AC9" i="93"/>
  <c r="X9" i="93"/>
  <c r="W9" i="93"/>
  <c r="U9" i="93"/>
  <c r="S9" i="93"/>
  <c r="Q9" i="93"/>
  <c r="O9" i="93"/>
  <c r="N9" i="93"/>
  <c r="M9" i="93"/>
  <c r="L9" i="93"/>
  <c r="E9" i="93"/>
  <c r="Z8" i="93"/>
  <c r="K8" i="93"/>
  <c r="Z7" i="93"/>
  <c r="K7" i="93"/>
  <c r="Z6" i="93"/>
  <c r="K6" i="93"/>
  <c r="AD6" i="93" s="1"/>
  <c r="Z5" i="93"/>
  <c r="K5" i="93"/>
  <c r="AG5" i="93" s="1"/>
  <c r="AA37" i="93" l="1"/>
  <c r="L171" i="93"/>
  <c r="AG145" i="93"/>
  <c r="AA46" i="93"/>
  <c r="AD103" i="93"/>
  <c r="AA136" i="93"/>
  <c r="AD67" i="93"/>
  <c r="AA105" i="93"/>
  <c r="AA192" i="93"/>
  <c r="AA124" i="93"/>
  <c r="AD192" i="93"/>
  <c r="AA96" i="93"/>
  <c r="AD19" i="93"/>
  <c r="AE19" i="93" s="1"/>
  <c r="AH19" i="93" s="1"/>
  <c r="AG87" i="93"/>
  <c r="AG129" i="93"/>
  <c r="AD84" i="93"/>
  <c r="AD181" i="93"/>
  <c r="AA7" i="93"/>
  <c r="AD102" i="93"/>
  <c r="AA23" i="93"/>
  <c r="AE23" i="93" s="1"/>
  <c r="AA98" i="93"/>
  <c r="AD60" i="93"/>
  <c r="AE60" i="93" s="1"/>
  <c r="AF60" i="93" s="1"/>
  <c r="AG26" i="93"/>
  <c r="AG65" i="93"/>
  <c r="AA155" i="93"/>
  <c r="AG192" i="93"/>
  <c r="AA83" i="93"/>
  <c r="AE83" i="93" s="1"/>
  <c r="AD155" i="93"/>
  <c r="N169" i="93"/>
  <c r="AE169" i="93" s="1"/>
  <c r="AA180" i="93"/>
  <c r="AC66" i="93"/>
  <c r="AA87" i="93"/>
  <c r="AD70" i="93"/>
  <c r="AA84" i="93"/>
  <c r="N96" i="93"/>
  <c r="AE96" i="93" s="1"/>
  <c r="AG153" i="93"/>
  <c r="AG31" i="93"/>
  <c r="AG67" i="93"/>
  <c r="K113" i="93"/>
  <c r="AG137" i="93"/>
  <c r="AH137" i="93" s="1"/>
  <c r="AD64" i="93"/>
  <c r="N168" i="93"/>
  <c r="AA26" i="93"/>
  <c r="AA32" i="93"/>
  <c r="AE32" i="93" s="1"/>
  <c r="AF32" i="93" s="1"/>
  <c r="AE87" i="93"/>
  <c r="AF87" i="93" s="1"/>
  <c r="AE171" i="93"/>
  <c r="AF171" i="93" s="1"/>
  <c r="AG7" i="93"/>
  <c r="AG17" i="93"/>
  <c r="AG32" i="93"/>
  <c r="AA54" i="93"/>
  <c r="AD62" i="93"/>
  <c r="AC65" i="93"/>
  <c r="AE65" i="93" s="1"/>
  <c r="L165" i="93"/>
  <c r="AG171" i="93"/>
  <c r="AG172" i="93" s="1"/>
  <c r="AA5" i="93"/>
  <c r="AC73" i="93"/>
  <c r="AD77" i="93"/>
  <c r="AD96" i="93"/>
  <c r="AA123" i="93"/>
  <c r="AA127" i="93"/>
  <c r="AA134" i="93"/>
  <c r="AD142" i="93"/>
  <c r="L156" i="93"/>
  <c r="O169" i="93"/>
  <c r="AA178" i="93"/>
  <c r="AA51" i="93"/>
  <c r="AA55" i="93"/>
  <c r="AA63" i="93"/>
  <c r="AC88" i="93"/>
  <c r="AG96" i="93"/>
  <c r="AD169" i="93"/>
  <c r="AD178" i="93"/>
  <c r="AG193" i="93"/>
  <c r="AG19" i="93"/>
  <c r="AA34" i="93"/>
  <c r="AE34" i="93" s="1"/>
  <c r="AF34" i="93" s="1"/>
  <c r="AD63" i="93"/>
  <c r="AA128" i="93"/>
  <c r="AE128" i="93" s="1"/>
  <c r="AF128" i="93" s="1"/>
  <c r="AA175" i="93"/>
  <c r="AG178" i="93"/>
  <c r="AA190" i="93"/>
  <c r="Q195" i="93"/>
  <c r="K182" i="93"/>
  <c r="AG83" i="93"/>
  <c r="S140" i="93"/>
  <c r="AG128" i="93"/>
  <c r="O132" i="93"/>
  <c r="AA148" i="93"/>
  <c r="O170" i="93"/>
  <c r="AD7" i="93"/>
  <c r="AE7" i="93" s="1"/>
  <c r="AF7" i="93" s="1"/>
  <c r="AJ7" i="93" s="1"/>
  <c r="AA15" i="93"/>
  <c r="AA129" i="93"/>
  <c r="AE129" i="93" s="1"/>
  <c r="AG132" i="93"/>
  <c r="AD148" i="93"/>
  <c r="O192" i="93"/>
  <c r="AE192" i="93" s="1"/>
  <c r="AD51" i="93"/>
  <c r="AG60" i="93"/>
  <c r="N158" i="93"/>
  <c r="AA184" i="93"/>
  <c r="AE54" i="93"/>
  <c r="AF54" i="93" s="1"/>
  <c r="AJ54" i="93" s="1"/>
  <c r="E195" i="93"/>
  <c r="AD14" i="93"/>
  <c r="AG54" i="93"/>
  <c r="AD57" i="93"/>
  <c r="AD66" i="93"/>
  <c r="AE66" i="93" s="1"/>
  <c r="AA76" i="93"/>
  <c r="AD82" i="93"/>
  <c r="O95" i="93"/>
  <c r="AD112" i="93"/>
  <c r="AA133" i="93"/>
  <c r="AD136" i="93"/>
  <c r="O158" i="93"/>
  <c r="O177" i="93"/>
  <c r="AD184" i="93"/>
  <c r="AE184" i="93" s="1"/>
  <c r="AA57" i="93"/>
  <c r="AD5" i="93"/>
  <c r="AE5" i="93" s="1"/>
  <c r="AD11" i="93"/>
  <c r="AD39" i="93"/>
  <c r="AD69" i="93"/>
  <c r="AC72" i="93"/>
  <c r="AD76" i="93"/>
  <c r="AA101" i="93"/>
  <c r="AA117" i="93"/>
  <c r="AA120" i="93"/>
  <c r="AA125" i="93"/>
  <c r="AA145" i="93"/>
  <c r="AE145" i="93" s="1"/>
  <c r="L168" i="93"/>
  <c r="AA174" i="93"/>
  <c r="U182" i="93"/>
  <c r="U195" i="93" s="1"/>
  <c r="AG23" i="93"/>
  <c r="AA6" i="93"/>
  <c r="AE6" i="93" s="1"/>
  <c r="X91" i="93"/>
  <c r="AA95" i="93"/>
  <c r="AD108" i="93"/>
  <c r="AD117" i="93"/>
  <c r="AD120" i="93"/>
  <c r="AD125" i="93"/>
  <c r="AA152" i="93"/>
  <c r="AA158" i="93"/>
  <c r="N170" i="93"/>
  <c r="AD174" i="93"/>
  <c r="N193" i="93"/>
  <c r="AD95" i="93"/>
  <c r="AD158" i="93"/>
  <c r="AA177" i="93"/>
  <c r="AA12" i="93"/>
  <c r="K24" i="93"/>
  <c r="AE67" i="93"/>
  <c r="AH67" i="93" s="1"/>
  <c r="AD88" i="93"/>
  <c r="AD105" i="93"/>
  <c r="AE105" i="93" s="1"/>
  <c r="AH105" i="93" s="1"/>
  <c r="AE109" i="93"/>
  <c r="AF109" i="93" s="1"/>
  <c r="J149" i="93"/>
  <c r="L166" i="93"/>
  <c r="O168" i="93"/>
  <c r="AG177" i="93"/>
  <c r="AA185" i="93"/>
  <c r="AD190" i="93"/>
  <c r="AA193" i="93"/>
  <c r="AD12" i="93"/>
  <c r="AD15" i="93"/>
  <c r="AA47" i="93"/>
  <c r="AA70" i="93"/>
  <c r="AA77" i="93"/>
  <c r="AG80" i="93"/>
  <c r="N132" i="93"/>
  <c r="AA142" i="93"/>
  <c r="O166" i="93"/>
  <c r="O175" i="93"/>
  <c r="AD193" i="93"/>
  <c r="AD24" i="93"/>
  <c r="AG22" i="93"/>
  <c r="AA103" i="93"/>
  <c r="AE103" i="93" s="1"/>
  <c r="AF103" i="93" s="1"/>
  <c r="AA111" i="93"/>
  <c r="AA146" i="93"/>
  <c r="O157" i="93"/>
  <c r="N159" i="93"/>
  <c r="AA164" i="93"/>
  <c r="AD13" i="93"/>
  <c r="AE63" i="93"/>
  <c r="AF63" i="93" s="1"/>
  <c r="AD68" i="93"/>
  <c r="AA106" i="93"/>
  <c r="AD111" i="93"/>
  <c r="AD116" i="93"/>
  <c r="AD159" i="93"/>
  <c r="AD164" i="93"/>
  <c r="AD186" i="93"/>
  <c r="AA17" i="93"/>
  <c r="AE17" i="93" s="1"/>
  <c r="AF17" i="93" s="1"/>
  <c r="K40" i="93"/>
  <c r="AD106" i="93"/>
  <c r="N167" i="93"/>
  <c r="AE26" i="93"/>
  <c r="AH32" i="93"/>
  <c r="AG28" i="93"/>
  <c r="AA28" i="93"/>
  <c r="O156" i="93"/>
  <c r="N156" i="93"/>
  <c r="AG156" i="93"/>
  <c r="K161" i="93"/>
  <c r="AD156" i="93"/>
  <c r="AA156" i="93"/>
  <c r="AA11" i="93"/>
  <c r="AG18" i="93"/>
  <c r="AA18" i="93"/>
  <c r="AE18" i="93" s="1"/>
  <c r="K20" i="93"/>
  <c r="K35" i="93"/>
  <c r="AA38" i="93"/>
  <c r="AG86" i="93"/>
  <c r="AD86" i="93"/>
  <c r="AE86" i="93" s="1"/>
  <c r="O97" i="93"/>
  <c r="N97" i="93"/>
  <c r="AD97" i="93"/>
  <c r="AA97" i="93"/>
  <c r="K140" i="93"/>
  <c r="AD118" i="93"/>
  <c r="AA118" i="93"/>
  <c r="AG118" i="93"/>
  <c r="AG79" i="93"/>
  <c r="AD79" i="93"/>
  <c r="AC79" i="93"/>
  <c r="AA90" i="93"/>
  <c r="AD130" i="93"/>
  <c r="AG130" i="93"/>
  <c r="O130" i="93"/>
  <c r="AG6" i="93"/>
  <c r="AA8" i="93"/>
  <c r="AA16" i="93"/>
  <c r="AD28" i="93"/>
  <c r="AD29" i="93" s="1"/>
  <c r="AA31" i="93"/>
  <c r="AE31" i="93" s="1"/>
  <c r="AA33" i="93"/>
  <c r="AD38" i="93"/>
  <c r="AG56" i="93"/>
  <c r="AD56" i="93"/>
  <c r="AA75" i="93"/>
  <c r="AD90" i="93"/>
  <c r="AG119" i="93"/>
  <c r="AD119" i="93"/>
  <c r="AA119" i="93"/>
  <c r="AD8" i="93"/>
  <c r="AD16" i="93"/>
  <c r="AD33" i="93"/>
  <c r="AD35" i="93" s="1"/>
  <c r="AG43" i="93"/>
  <c r="AD43" i="93"/>
  <c r="AA43" i="93"/>
  <c r="W91" i="93"/>
  <c r="W195" i="93" s="1"/>
  <c r="AG90" i="93"/>
  <c r="AD144" i="93"/>
  <c r="K149" i="93"/>
  <c r="AA144" i="93"/>
  <c r="AG144" i="93"/>
  <c r="AG147" i="93"/>
  <c r="AD147" i="93"/>
  <c r="AA147" i="93"/>
  <c r="AG176" i="93"/>
  <c r="AD176" i="93"/>
  <c r="AA176" i="93"/>
  <c r="O176" i="93"/>
  <c r="AD191" i="93"/>
  <c r="AG191" i="93"/>
  <c r="AA191" i="93"/>
  <c r="O191" i="93"/>
  <c r="N191" i="93"/>
  <c r="AD93" i="93"/>
  <c r="AA93" i="93"/>
  <c r="O93" i="93"/>
  <c r="AG8" i="93"/>
  <c r="AA13" i="93"/>
  <c r="AG16" i="93"/>
  <c r="AA22" i="93"/>
  <c r="AG33" i="93"/>
  <c r="AG37" i="93"/>
  <c r="AD37" i="93"/>
  <c r="AE37" i="93" s="1"/>
  <c r="AA39" i="93"/>
  <c r="AA52" i="93"/>
  <c r="AE52" i="93" s="1"/>
  <c r="AA56" i="93"/>
  <c r="AA69" i="93"/>
  <c r="AD80" i="93"/>
  <c r="AE80" i="93" s="1"/>
  <c r="O98" i="93"/>
  <c r="N98" i="93"/>
  <c r="AG98" i="93"/>
  <c r="AF137" i="93"/>
  <c r="AD42" i="93"/>
  <c r="AA42" i="93"/>
  <c r="K48" i="93"/>
  <c r="AG38" i="93"/>
  <c r="AA27" i="93"/>
  <c r="AE27" i="93" s="1"/>
  <c r="AA44" i="93"/>
  <c r="AE44" i="93" s="1"/>
  <c r="AG59" i="93"/>
  <c r="AC59" i="93"/>
  <c r="AE59" i="93" s="1"/>
  <c r="AG93" i="93"/>
  <c r="AE174" i="93"/>
  <c r="AG179" i="93"/>
  <c r="AD179" i="93"/>
  <c r="AA179" i="93"/>
  <c r="O179" i="93"/>
  <c r="AD74" i="93"/>
  <c r="AC74" i="93"/>
  <c r="AG74" i="93"/>
  <c r="AG94" i="93"/>
  <c r="O94" i="93"/>
  <c r="N94" i="93"/>
  <c r="AD94" i="93"/>
  <c r="AD189" i="93"/>
  <c r="AG189" i="93"/>
  <c r="K194" i="93"/>
  <c r="AA189" i="93"/>
  <c r="K9" i="93"/>
  <c r="AD85" i="93"/>
  <c r="AA85" i="93"/>
  <c r="AG85" i="93"/>
  <c r="AG89" i="93"/>
  <c r="AD89" i="93"/>
  <c r="S113" i="93"/>
  <c r="K121" i="93"/>
  <c r="AG115" i="93"/>
  <c r="AD115" i="93"/>
  <c r="AA115" i="93"/>
  <c r="AG138" i="93"/>
  <c r="AD138" i="93"/>
  <c r="AE138" i="93" s="1"/>
  <c r="AG75" i="93"/>
  <c r="AD75" i="93"/>
  <c r="AE55" i="93"/>
  <c r="AG55" i="93"/>
  <c r="AA94" i="93"/>
  <c r="AF129" i="93"/>
  <c r="M160" i="93"/>
  <c r="L160" i="93"/>
  <c r="L169" i="93"/>
  <c r="M169" i="93"/>
  <c r="K29" i="93"/>
  <c r="AD53" i="93"/>
  <c r="AA53" i="93"/>
  <c r="AA14" i="93"/>
  <c r="AG27" i="93"/>
  <c r="AG34" i="93"/>
  <c r="AG44" i="93"/>
  <c r="AC89" i="93"/>
  <c r="K99" i="93"/>
  <c r="AA116" i="93"/>
  <c r="O160" i="93"/>
  <c r="N160" i="93"/>
  <c r="AG160" i="93"/>
  <c r="AD160" i="93"/>
  <c r="AD46" i="93"/>
  <c r="AE46" i="93" s="1"/>
  <c r="AD61" i="93"/>
  <c r="AC61" i="93"/>
  <c r="AA64" i="93"/>
  <c r="AE64" i="93" s="1"/>
  <c r="AD72" i="93"/>
  <c r="AA82" i="93"/>
  <c r="AA102" i="93"/>
  <c r="AE102" i="93" s="1"/>
  <c r="AD104" i="93"/>
  <c r="AA104" i="93"/>
  <c r="AG107" i="93"/>
  <c r="AG109" i="93"/>
  <c r="AD124" i="93"/>
  <c r="AD127" i="93"/>
  <c r="AE127" i="93" s="1"/>
  <c r="AD133" i="93"/>
  <c r="AD152" i="93"/>
  <c r="AA157" i="93"/>
  <c r="O165" i="93"/>
  <c r="AA166" i="93"/>
  <c r="AD170" i="93"/>
  <c r="AD157" i="93"/>
  <c r="AG187" i="93"/>
  <c r="AD126" i="93"/>
  <c r="AA165" i="93"/>
  <c r="AD45" i="93"/>
  <c r="AA45" i="93"/>
  <c r="K91" i="93"/>
  <c r="AD71" i="93"/>
  <c r="AC71" i="93"/>
  <c r="AD81" i="93"/>
  <c r="AC81" i="93"/>
  <c r="AD101" i="93"/>
  <c r="AD110" i="93"/>
  <c r="AE110" i="93" s="1"/>
  <c r="O112" i="93"/>
  <c r="O113" i="93" s="1"/>
  <c r="AA135" i="93"/>
  <c r="M146" i="93"/>
  <c r="M149" i="93" s="1"/>
  <c r="AD151" i="93"/>
  <c r="AA151" i="93"/>
  <c r="AG157" i="93"/>
  <c r="AD165" i="93"/>
  <c r="AD185" i="93"/>
  <c r="AD58" i="93"/>
  <c r="AC58" i="93"/>
  <c r="N95" i="93"/>
  <c r="AA108" i="93"/>
  <c r="AA126" i="93"/>
  <c r="AD135" i="93"/>
  <c r="K153" i="93"/>
  <c r="AD175" i="93"/>
  <c r="AE175" i="93" s="1"/>
  <c r="O181" i="93"/>
  <c r="K187" i="93"/>
  <c r="S194" i="93"/>
  <c r="M158" i="93"/>
  <c r="L158" i="93"/>
  <c r="AD167" i="93"/>
  <c r="AA167" i="93"/>
  <c r="AD47" i="93"/>
  <c r="AD50" i="93"/>
  <c r="AC68" i="93"/>
  <c r="AD73" i="93"/>
  <c r="AE73" i="93" s="1"/>
  <c r="AD78" i="93"/>
  <c r="AA78" i="93"/>
  <c r="AE108" i="93"/>
  <c r="AA112" i="93"/>
  <c r="AD123" i="93"/>
  <c r="AE123" i="93" s="1"/>
  <c r="AG126" i="93"/>
  <c r="N131" i="93"/>
  <c r="AD134" i="93"/>
  <c r="AD139" i="93"/>
  <c r="AE139" i="93" s="1"/>
  <c r="AD146" i="93"/>
  <c r="M167" i="93"/>
  <c r="M172" i="93" s="1"/>
  <c r="AA181" i="93"/>
  <c r="O131" i="93"/>
  <c r="K172" i="93"/>
  <c r="AA163" i="93"/>
  <c r="AD166" i="93"/>
  <c r="AD107" i="93"/>
  <c r="AA107" i="93"/>
  <c r="AE107" i="93" s="1"/>
  <c r="AD131" i="93"/>
  <c r="J161" i="93"/>
  <c r="J195" i="93" s="1"/>
  <c r="O167" i="93"/>
  <c r="AD180" i="93"/>
  <c r="AG50" i="93"/>
  <c r="L157" i="93"/>
  <c r="AD163" i="93"/>
  <c r="N165" i="93"/>
  <c r="N166" i="93"/>
  <c r="L170" i="93"/>
  <c r="O180" i="93"/>
  <c r="AA186" i="93"/>
  <c r="AD168" i="93"/>
  <c r="AE133" i="93" l="1"/>
  <c r="AE124" i="93"/>
  <c r="AE42" i="93"/>
  <c r="AA194" i="93"/>
  <c r="AE43" i="93"/>
  <c r="AE178" i="93"/>
  <c r="AE82" i="93"/>
  <c r="AE158" i="93"/>
  <c r="AE101" i="93"/>
  <c r="AE94" i="93"/>
  <c r="AE69" i="93"/>
  <c r="AF69" i="93" s="1"/>
  <c r="AE136" i="93"/>
  <c r="AF136" i="93" s="1"/>
  <c r="AE152" i="93"/>
  <c r="AE16" i="93"/>
  <c r="AE117" i="93"/>
  <c r="M195" i="93"/>
  <c r="AA9" i="93"/>
  <c r="AE134" i="93"/>
  <c r="AF67" i="93"/>
  <c r="AH128" i="93"/>
  <c r="AE116" i="93"/>
  <c r="AE84" i="93"/>
  <c r="AH84" i="93" s="1"/>
  <c r="AE156" i="93"/>
  <c r="AH156" i="93" s="1"/>
  <c r="AE190" i="93"/>
  <c r="AH190" i="93" s="1"/>
  <c r="AH129" i="93"/>
  <c r="M161" i="93"/>
  <c r="AE62" i="93"/>
  <c r="AH62" i="93" s="1"/>
  <c r="AE95" i="93"/>
  <c r="AF95" i="93" s="1"/>
  <c r="AJ95" i="93" s="1"/>
  <c r="AF178" i="93"/>
  <c r="AH178" i="93"/>
  <c r="AE39" i="93"/>
  <c r="AH39" i="93" s="1"/>
  <c r="AH63" i="93"/>
  <c r="AH54" i="93"/>
  <c r="AE78" i="93"/>
  <c r="AH78" i="93" s="1"/>
  <c r="AE71" i="93"/>
  <c r="AF71" i="93" s="1"/>
  <c r="AH34" i="93"/>
  <c r="AE88" i="93"/>
  <c r="AH88" i="93" s="1"/>
  <c r="AE68" i="93"/>
  <c r="AF68" i="93" s="1"/>
  <c r="AE168" i="93"/>
  <c r="AE85" i="93"/>
  <c r="AF19" i="93"/>
  <c r="AE177" i="93"/>
  <c r="AE155" i="93"/>
  <c r="AH87" i="93"/>
  <c r="AE142" i="93"/>
  <c r="AE12" i="93"/>
  <c r="AH12" i="93" s="1"/>
  <c r="AE47" i="93"/>
  <c r="AH47" i="93" s="1"/>
  <c r="AG182" i="93"/>
  <c r="AE159" i="93"/>
  <c r="AE132" i="93"/>
  <c r="AF132" i="93" s="1"/>
  <c r="AE77" i="93"/>
  <c r="AF77" i="93" s="1"/>
  <c r="AD20" i="93"/>
  <c r="AE58" i="93"/>
  <c r="AD121" i="93"/>
  <c r="AE70" i="93"/>
  <c r="AF70" i="93" s="1"/>
  <c r="AE170" i="93"/>
  <c r="AH170" i="93" s="1"/>
  <c r="N194" i="93"/>
  <c r="AE15" i="93"/>
  <c r="AF15" i="93" s="1"/>
  <c r="AJ15" i="93" s="1"/>
  <c r="AE147" i="93"/>
  <c r="AF147" i="93" s="1"/>
  <c r="AG161" i="93"/>
  <c r="AE57" i="93"/>
  <c r="AH57" i="93" s="1"/>
  <c r="AG48" i="93"/>
  <c r="AE89" i="93"/>
  <c r="AE33" i="93"/>
  <c r="AA40" i="93"/>
  <c r="AG194" i="93"/>
  <c r="AA29" i="93"/>
  <c r="AE125" i="93"/>
  <c r="AF125" i="93" s="1"/>
  <c r="O194" i="93"/>
  <c r="AE118" i="93"/>
  <c r="AH118" i="93" s="1"/>
  <c r="AH109" i="93"/>
  <c r="AE148" i="93"/>
  <c r="AG35" i="93"/>
  <c r="AH7" i="93"/>
  <c r="AE186" i="93"/>
  <c r="AD161" i="93"/>
  <c r="AE51" i="93"/>
  <c r="AH51" i="93" s="1"/>
  <c r="AH171" i="93"/>
  <c r="AE181" i="93"/>
  <c r="AH181" i="93" s="1"/>
  <c r="AE180" i="93"/>
  <c r="AH180" i="93" s="1"/>
  <c r="AD9" i="93"/>
  <c r="K195" i="93"/>
  <c r="AE74" i="93"/>
  <c r="AE75" i="93"/>
  <c r="AF75" i="93" s="1"/>
  <c r="AE76" i="93"/>
  <c r="AH76" i="93" s="1"/>
  <c r="AH66" i="93"/>
  <c r="AF66" i="93"/>
  <c r="AH117" i="93"/>
  <c r="AF117" i="93"/>
  <c r="AH159" i="93"/>
  <c r="AF159" i="93"/>
  <c r="AD187" i="93"/>
  <c r="AE160" i="93"/>
  <c r="AH160" i="93" s="1"/>
  <c r="O99" i="93"/>
  <c r="O161" i="93"/>
  <c r="AE164" i="93"/>
  <c r="AA187" i="93"/>
  <c r="AE131" i="93"/>
  <c r="AE146" i="93"/>
  <c r="AF146" i="93" s="1"/>
  <c r="L172" i="93"/>
  <c r="S195" i="93"/>
  <c r="AE90" i="93"/>
  <c r="AH90" i="93" s="1"/>
  <c r="O172" i="93"/>
  <c r="AD40" i="93"/>
  <c r="AE38" i="93"/>
  <c r="AF38" i="93" s="1"/>
  <c r="AJ38" i="93" s="1"/>
  <c r="AE166" i="93"/>
  <c r="AF166" i="93" s="1"/>
  <c r="AE157" i="93"/>
  <c r="AF157" i="93" s="1"/>
  <c r="AE72" i="93"/>
  <c r="AH72" i="93" s="1"/>
  <c r="AE98" i="93"/>
  <c r="AF98" i="93" s="1"/>
  <c r="AJ98" i="93" s="1"/>
  <c r="AG40" i="93"/>
  <c r="AA149" i="93"/>
  <c r="AH60" i="93"/>
  <c r="AE111" i="93"/>
  <c r="AE120" i="93"/>
  <c r="AF105" i="93"/>
  <c r="AE189" i="93"/>
  <c r="AH189" i="93" s="1"/>
  <c r="AE97" i="93"/>
  <c r="AH97" i="93" s="1"/>
  <c r="AH17" i="93"/>
  <c r="AF62" i="93"/>
  <c r="AG24" i="93"/>
  <c r="N172" i="93"/>
  <c r="N140" i="93"/>
  <c r="AA140" i="93"/>
  <c r="AE179" i="93"/>
  <c r="AF179" i="93" s="1"/>
  <c r="L161" i="93"/>
  <c r="L195" i="93" s="1"/>
  <c r="AG140" i="93"/>
  <c r="AE61" i="93"/>
  <c r="AH61" i="93" s="1"/>
  <c r="AG29" i="93"/>
  <c r="AG20" i="93"/>
  <c r="AE79" i="93"/>
  <c r="AH79" i="93" s="1"/>
  <c r="AE106" i="93"/>
  <c r="AE14" i="93"/>
  <c r="AF14" i="93" s="1"/>
  <c r="AJ14" i="93" s="1"/>
  <c r="AE13" i="93"/>
  <c r="AF13" i="93" s="1"/>
  <c r="AJ13" i="93" s="1"/>
  <c r="AE176" i="93"/>
  <c r="AH176" i="93" s="1"/>
  <c r="AE193" i="93"/>
  <c r="AE56" i="93"/>
  <c r="AH56" i="93" s="1"/>
  <c r="AA182" i="93"/>
  <c r="AH103" i="93"/>
  <c r="AE119" i="93"/>
  <c r="AH119" i="93" s="1"/>
  <c r="AA35" i="93"/>
  <c r="AH96" i="93"/>
  <c r="AF96" i="93"/>
  <c r="AJ96" i="93" s="1"/>
  <c r="AG113" i="93"/>
  <c r="AG121" i="93"/>
  <c r="N99" i="93"/>
  <c r="AH110" i="93"/>
  <c r="AF110" i="93"/>
  <c r="AH127" i="93"/>
  <c r="AF127" i="93"/>
  <c r="AH46" i="93"/>
  <c r="AF46" i="93"/>
  <c r="AH42" i="93"/>
  <c r="AF42" i="93"/>
  <c r="AH124" i="93"/>
  <c r="AF124" i="93"/>
  <c r="AH133" i="93"/>
  <c r="AF133" i="93"/>
  <c r="AH58" i="93"/>
  <c r="AF58" i="93"/>
  <c r="AF94" i="93"/>
  <c r="AJ94" i="93" s="1"/>
  <c r="AH94" i="93"/>
  <c r="AH16" i="93"/>
  <c r="AF16" i="93"/>
  <c r="AJ16" i="93" s="1"/>
  <c r="AH146" i="93"/>
  <c r="AH59" i="93"/>
  <c r="AF59" i="93"/>
  <c r="AF168" i="93"/>
  <c r="AH168" i="93"/>
  <c r="AH131" i="93"/>
  <c r="AF131" i="93"/>
  <c r="AH102" i="93"/>
  <c r="AF102" i="93"/>
  <c r="AF89" i="93"/>
  <c r="AH89" i="93"/>
  <c r="AH27" i="93"/>
  <c r="AF27" i="93"/>
  <c r="AJ27" i="93" s="1"/>
  <c r="AH152" i="93"/>
  <c r="AF152" i="93"/>
  <c r="AH138" i="93"/>
  <c r="AF138" i="93"/>
  <c r="AH98" i="93"/>
  <c r="AH179" i="93"/>
  <c r="AF44" i="93"/>
  <c r="AH44" i="93"/>
  <c r="AF31" i="93"/>
  <c r="AJ31" i="93" s="1"/>
  <c r="AH31" i="93"/>
  <c r="AE35" i="93"/>
  <c r="AE165" i="93"/>
  <c r="AF64" i="93"/>
  <c r="AH64" i="93"/>
  <c r="AH43" i="93"/>
  <c r="AF43" i="93"/>
  <c r="AE28" i="93"/>
  <c r="AE29" i="93" s="1"/>
  <c r="AF18" i="93"/>
  <c r="AH18" i="93"/>
  <c r="AH33" i="93"/>
  <c r="AF33" i="93"/>
  <c r="AF80" i="93"/>
  <c r="AH80" i="93"/>
  <c r="AD172" i="93"/>
  <c r="AF65" i="93"/>
  <c r="AH65" i="93"/>
  <c r="AD182" i="93"/>
  <c r="AE185" i="93"/>
  <c r="AE187" i="93" s="1"/>
  <c r="AD113" i="93"/>
  <c r="AE126" i="93"/>
  <c r="AH136" i="93"/>
  <c r="AH184" i="93"/>
  <c r="AF184" i="93"/>
  <c r="AA113" i="93"/>
  <c r="AA99" i="93"/>
  <c r="AH73" i="93"/>
  <c r="AF73" i="93"/>
  <c r="AF52" i="93"/>
  <c r="AJ52" i="93" s="1"/>
  <c r="AH52" i="93"/>
  <c r="AF175" i="93"/>
  <c r="AH175" i="93"/>
  <c r="AH101" i="93"/>
  <c r="AF101" i="93"/>
  <c r="AF55" i="93"/>
  <c r="AJ55" i="93" s="1"/>
  <c r="AH55" i="93"/>
  <c r="AH174" i="93"/>
  <c r="AF174" i="93"/>
  <c r="AD99" i="93"/>
  <c r="AA20" i="93"/>
  <c r="AE11" i="93"/>
  <c r="AF134" i="93"/>
  <c r="AH134" i="93"/>
  <c r="AD91" i="93"/>
  <c r="AF170" i="93"/>
  <c r="AE50" i="93"/>
  <c r="AH85" i="93"/>
  <c r="AF85" i="93"/>
  <c r="AE93" i="93"/>
  <c r="AG9" i="93"/>
  <c r="AF145" i="93"/>
  <c r="AH145" i="93"/>
  <c r="AE81" i="93"/>
  <c r="O182" i="93"/>
  <c r="AA121" i="93"/>
  <c r="O140" i="93"/>
  <c r="AH5" i="93"/>
  <c r="AF5" i="93"/>
  <c r="AE8" i="93"/>
  <c r="AE9" i="93" s="1"/>
  <c r="AF139" i="93"/>
  <c r="AH139" i="93"/>
  <c r="AH83" i="93"/>
  <c r="AF83" i="93"/>
  <c r="AD194" i="93"/>
  <c r="AG99" i="93"/>
  <c r="AA161" i="93"/>
  <c r="AH74" i="93"/>
  <c r="AF74" i="93"/>
  <c r="AA48" i="93"/>
  <c r="AF86" i="93"/>
  <c r="AH86" i="93"/>
  <c r="AE22" i="93"/>
  <c r="AA24" i="93"/>
  <c r="AH6" i="93"/>
  <c r="AF6" i="93"/>
  <c r="AJ6" i="93" s="1"/>
  <c r="AF116" i="93"/>
  <c r="AH116" i="93"/>
  <c r="AG91" i="93"/>
  <c r="AD140" i="93"/>
  <c r="AA153" i="93"/>
  <c r="AE151" i="93"/>
  <c r="AH186" i="93"/>
  <c r="AF186" i="93"/>
  <c r="AE167" i="93"/>
  <c r="AD153" i="93"/>
  <c r="AE104" i="93"/>
  <c r="AE53" i="93"/>
  <c r="AE115" i="93"/>
  <c r="AD48" i="93"/>
  <c r="AE191" i="93"/>
  <c r="AE144" i="93"/>
  <c r="AF51" i="93"/>
  <c r="AJ51" i="93" s="1"/>
  <c r="AE130" i="93"/>
  <c r="AH107" i="93"/>
  <c r="AF107" i="93"/>
  <c r="AD149" i="93"/>
  <c r="AF181" i="93"/>
  <c r="AA172" i="93"/>
  <c r="AE163" i="93"/>
  <c r="AH108" i="93"/>
  <c r="AF108" i="93"/>
  <c r="AE45" i="93"/>
  <c r="AE48" i="93" s="1"/>
  <c r="AF169" i="93"/>
  <c r="AH169" i="93"/>
  <c r="AE112" i="93"/>
  <c r="AF192" i="93"/>
  <c r="AH192" i="93"/>
  <c r="AG149" i="93"/>
  <c r="AH158" i="93"/>
  <c r="AF158" i="93"/>
  <c r="AE135" i="93"/>
  <c r="AA91" i="93"/>
  <c r="AC91" i="93"/>
  <c r="AC195" i="93" s="1"/>
  <c r="AF123" i="93"/>
  <c r="AH123" i="93"/>
  <c r="AF82" i="93"/>
  <c r="AH82" i="93"/>
  <c r="AH37" i="93"/>
  <c r="AF37" i="93"/>
  <c r="AH23" i="93"/>
  <c r="AF23" i="93"/>
  <c r="AJ23" i="93" s="1"/>
  <c r="N161" i="93"/>
  <c r="AH26" i="93"/>
  <c r="AF26" i="93"/>
  <c r="AH147" i="93" l="1"/>
  <c r="AH69" i="93"/>
  <c r="AF47" i="93"/>
  <c r="AH71" i="93"/>
  <c r="AF61" i="93"/>
  <c r="AH75" i="93"/>
  <c r="AH157" i="93"/>
  <c r="AF56" i="93"/>
  <c r="AF84" i="93"/>
  <c r="AF156" i="93"/>
  <c r="AF190" i="93"/>
  <c r="AH125" i="93"/>
  <c r="AF189" i="93"/>
  <c r="AF119" i="93"/>
  <c r="AH77" i="93"/>
  <c r="AH95" i="93"/>
  <c r="AF39" i="93"/>
  <c r="AJ39" i="93" s="1"/>
  <c r="AE40" i="93"/>
  <c r="AH38" i="93"/>
  <c r="AH40" i="93" s="1"/>
  <c r="AF97" i="93"/>
  <c r="AJ97" i="93" s="1"/>
  <c r="AH15" i="93"/>
  <c r="AH14" i="93"/>
  <c r="AF12" i="93"/>
  <c r="AJ12" i="93" s="1"/>
  <c r="AH132" i="93"/>
  <c r="AH68" i="93"/>
  <c r="AH142" i="93"/>
  <c r="AF142" i="93"/>
  <c r="AJ142" i="93" s="1"/>
  <c r="AF88" i="93"/>
  <c r="AF76" i="93"/>
  <c r="AH155" i="93"/>
  <c r="AF155" i="93"/>
  <c r="AH70" i="93"/>
  <c r="AH177" i="93"/>
  <c r="AH182" i="93" s="1"/>
  <c r="AF177" i="93"/>
  <c r="AF57" i="93"/>
  <c r="AA195" i="93"/>
  <c r="AF90" i="93"/>
  <c r="AF78" i="93"/>
  <c r="AF176" i="93"/>
  <c r="O195" i="93"/>
  <c r="AF79" i="93"/>
  <c r="AE140" i="93"/>
  <c r="AF180" i="93"/>
  <c r="AF72" i="93"/>
  <c r="N195" i="93"/>
  <c r="AG195" i="93"/>
  <c r="AF148" i="93"/>
  <c r="AH148" i="93"/>
  <c r="AH166" i="93"/>
  <c r="AE113" i="93"/>
  <c r="AF118" i="93"/>
  <c r="AD195" i="93"/>
  <c r="AH193" i="93"/>
  <c r="AF193" i="93"/>
  <c r="AH111" i="93"/>
  <c r="AF111" i="93"/>
  <c r="AE182" i="93"/>
  <c r="AH106" i="93"/>
  <c r="AF106" i="93"/>
  <c r="AF160" i="93"/>
  <c r="AE161" i="93"/>
  <c r="AH164" i="93"/>
  <c r="AF164" i="93"/>
  <c r="AH13" i="93"/>
  <c r="AH120" i="93"/>
  <c r="AF120" i="93"/>
  <c r="AH130" i="93"/>
  <c r="AF130" i="93"/>
  <c r="AF81" i="93"/>
  <c r="AH81" i="93"/>
  <c r="AF45" i="93"/>
  <c r="AF48" i="93" s="1"/>
  <c r="AH45" i="93"/>
  <c r="AH48" i="93" s="1"/>
  <c r="AH11" i="93"/>
  <c r="AF11" i="93"/>
  <c r="AE20" i="93"/>
  <c r="AF28" i="93"/>
  <c r="AJ28" i="93" s="1"/>
  <c r="AH28" i="93"/>
  <c r="AH29" i="93" s="1"/>
  <c r="AH144" i="93"/>
  <c r="AF144" i="93"/>
  <c r="AE149" i="93"/>
  <c r="AF22" i="93"/>
  <c r="AF24" i="93" s="1"/>
  <c r="AH22" i="93"/>
  <c r="AH24" i="93" s="1"/>
  <c r="AE24" i="93"/>
  <c r="AH191" i="93"/>
  <c r="AF191" i="93"/>
  <c r="AE194" i="93"/>
  <c r="AH167" i="93"/>
  <c r="AF167" i="93"/>
  <c r="AE153" i="93"/>
  <c r="AH151" i="93"/>
  <c r="AH153" i="93" s="1"/>
  <c r="AF151" i="93"/>
  <c r="AF153" i="93" s="1"/>
  <c r="AH135" i="93"/>
  <c r="AF135" i="93"/>
  <c r="AF165" i="93"/>
  <c r="AH165" i="93"/>
  <c r="AE172" i="93"/>
  <c r="AH163" i="93"/>
  <c r="AF163" i="93"/>
  <c r="AH93" i="93"/>
  <c r="AH99" i="93" s="1"/>
  <c r="AF93" i="93"/>
  <c r="AE99" i="93"/>
  <c r="AH35" i="93"/>
  <c r="AF115" i="93"/>
  <c r="AH115" i="93"/>
  <c r="AE121" i="93"/>
  <c r="AF8" i="93"/>
  <c r="AH8" i="93"/>
  <c r="AH9" i="93" s="1"/>
  <c r="AH126" i="93"/>
  <c r="AF126" i="93"/>
  <c r="AF35" i="93"/>
  <c r="AF112" i="93"/>
  <c r="AH112" i="93"/>
  <c r="AF53" i="93"/>
  <c r="AJ53" i="93" s="1"/>
  <c r="AH53" i="93"/>
  <c r="AF104" i="93"/>
  <c r="AH104" i="93"/>
  <c r="AF50" i="93"/>
  <c r="AH50" i="93"/>
  <c r="AE91" i="93"/>
  <c r="AH185" i="93"/>
  <c r="AH187" i="93" s="1"/>
  <c r="AF185" i="93"/>
  <c r="AF187" i="93" s="1"/>
  <c r="AH161" i="93" l="1"/>
  <c r="AF182" i="93"/>
  <c r="AF20" i="93"/>
  <c r="AF40" i="93"/>
  <c r="AH149" i="93"/>
  <c r="AF29" i="93"/>
  <c r="AF9" i="93"/>
  <c r="AJ8" i="93"/>
  <c r="AF99" i="93"/>
  <c r="AJ93" i="93"/>
  <c r="AF149" i="93"/>
  <c r="AH194" i="93"/>
  <c r="AE195" i="93"/>
  <c r="AF161" i="93"/>
  <c r="AF121" i="93"/>
  <c r="AH140" i="93"/>
  <c r="AF113" i="93"/>
  <c r="AF194" i="93"/>
  <c r="AH20" i="93"/>
  <c r="AH195" i="93" s="1"/>
  <c r="AH113" i="93"/>
  <c r="AH121" i="93"/>
  <c r="AF140" i="93"/>
  <c r="AF91" i="93"/>
  <c r="AH91" i="93"/>
  <c r="AF172" i="93"/>
  <c r="AH172" i="93"/>
  <c r="AF195" i="93" l="1"/>
  <c r="AH197" i="93"/>
  <c r="X8" i="70" l="1"/>
  <c r="Z8" i="70"/>
  <c r="V8" i="70"/>
  <c r="T8" i="70"/>
  <c r="P9" i="70"/>
  <c r="L9" i="70"/>
  <c r="J9" i="70"/>
  <c r="AD8" i="70" l="1"/>
  <c r="AC125" i="70"/>
  <c r="AA125" i="70" l="1"/>
  <c r="Z125" i="70"/>
  <c r="X125" i="70"/>
  <c r="V125" i="70"/>
  <c r="T125" i="70"/>
  <c r="P124" i="70"/>
  <c r="M124" i="70"/>
  <c r="N124" i="70" s="1"/>
  <c r="L124" i="70"/>
  <c r="J124" i="70"/>
  <c r="P123" i="70"/>
  <c r="M123" i="70"/>
  <c r="N123" i="70" s="1"/>
  <c r="L123" i="70"/>
  <c r="J123" i="70"/>
  <c r="AC122" i="70"/>
  <c r="Z122" i="70"/>
  <c r="X122" i="70"/>
  <c r="V122" i="70"/>
  <c r="T122" i="70"/>
  <c r="P121" i="70"/>
  <c r="M121" i="70"/>
  <c r="N121" i="70" s="1"/>
  <c r="L121" i="70"/>
  <c r="J121" i="70"/>
  <c r="P120" i="70"/>
  <c r="M120" i="70"/>
  <c r="N120" i="70" s="1"/>
  <c r="L120" i="70"/>
  <c r="J120" i="70"/>
  <c r="AC119" i="70"/>
  <c r="AC126" i="70" s="1"/>
  <c r="AA119" i="70"/>
  <c r="Z119" i="70"/>
  <c r="X119" i="70"/>
  <c r="V119" i="70"/>
  <c r="T119" i="70"/>
  <c r="P118" i="70"/>
  <c r="M118" i="70"/>
  <c r="N118" i="70" s="1"/>
  <c r="L118" i="70"/>
  <c r="J118" i="70"/>
  <c r="P117" i="70"/>
  <c r="M117" i="70"/>
  <c r="N117" i="70" s="1"/>
  <c r="L117" i="70"/>
  <c r="J117" i="70"/>
  <c r="AA116" i="70"/>
  <c r="Z116" i="70"/>
  <c r="X116" i="70"/>
  <c r="X126" i="70" s="1"/>
  <c r="V116" i="70"/>
  <c r="V126" i="70" s="1"/>
  <c r="T116" i="70"/>
  <c r="P115" i="70"/>
  <c r="M115" i="70"/>
  <c r="N115" i="70" s="1"/>
  <c r="L115" i="70"/>
  <c r="J115" i="70"/>
  <c r="P114" i="70"/>
  <c r="M114" i="70"/>
  <c r="N114" i="70" s="1"/>
  <c r="L114" i="70"/>
  <c r="J114" i="70"/>
  <c r="P113" i="70"/>
  <c r="M113" i="70"/>
  <c r="N113" i="70" s="1"/>
  <c r="L113" i="70"/>
  <c r="J113" i="70"/>
  <c r="AB111" i="70"/>
  <c r="AA110" i="70"/>
  <c r="Z110" i="70"/>
  <c r="X110" i="70"/>
  <c r="V110" i="70"/>
  <c r="T110" i="70"/>
  <c r="P109" i="70"/>
  <c r="M109" i="70"/>
  <c r="N109" i="70" s="1"/>
  <c r="L109" i="70"/>
  <c r="J109" i="70"/>
  <c r="AC108" i="70"/>
  <c r="AA108" i="70"/>
  <c r="Z108" i="70"/>
  <c r="X108" i="70"/>
  <c r="V108" i="70"/>
  <c r="T108" i="70"/>
  <c r="P107" i="70"/>
  <c r="M107" i="70"/>
  <c r="N107" i="70" s="1"/>
  <c r="L107" i="70"/>
  <c r="J107" i="70"/>
  <c r="P106" i="70"/>
  <c r="M106" i="70"/>
  <c r="N106" i="70" s="1"/>
  <c r="L106" i="70"/>
  <c r="J106" i="70"/>
  <c r="AC105" i="70"/>
  <c r="AA105" i="70"/>
  <c r="Z105" i="70"/>
  <c r="X105" i="70"/>
  <c r="V105" i="70"/>
  <c r="T105" i="70"/>
  <c r="P104" i="70"/>
  <c r="M104" i="70"/>
  <c r="N104" i="70" s="1"/>
  <c r="L104" i="70"/>
  <c r="J104" i="70"/>
  <c r="P103" i="70"/>
  <c r="M103" i="70"/>
  <c r="N103" i="70" s="1"/>
  <c r="L103" i="70"/>
  <c r="J103" i="70"/>
  <c r="AC102" i="70"/>
  <c r="AA102" i="70"/>
  <c r="Z102" i="70"/>
  <c r="X102" i="70"/>
  <c r="V102" i="70"/>
  <c r="T102" i="70"/>
  <c r="P101" i="70"/>
  <c r="M101" i="70"/>
  <c r="N101" i="70" s="1"/>
  <c r="L101" i="70"/>
  <c r="J101" i="70"/>
  <c r="P100" i="70"/>
  <c r="M100" i="70"/>
  <c r="N100" i="70" s="1"/>
  <c r="L100" i="70"/>
  <c r="J100" i="70"/>
  <c r="AC97" i="70"/>
  <c r="AC98" i="70" s="1"/>
  <c r="AA97" i="70"/>
  <c r="Z97" i="70"/>
  <c r="X97" i="70"/>
  <c r="V97" i="70"/>
  <c r="T97" i="70"/>
  <c r="P96" i="70"/>
  <c r="M96" i="70"/>
  <c r="N96" i="70" s="1"/>
  <c r="K96" i="70"/>
  <c r="L96" i="70" s="1"/>
  <c r="J96" i="70"/>
  <c r="AA95" i="70"/>
  <c r="Z95" i="70"/>
  <c r="X95" i="70"/>
  <c r="V95" i="70"/>
  <c r="T95" i="70"/>
  <c r="P94" i="70"/>
  <c r="M94" i="70"/>
  <c r="N94" i="70" s="1"/>
  <c r="K94" i="70"/>
  <c r="L94" i="70" s="1"/>
  <c r="J94" i="70"/>
  <c r="AA93" i="70"/>
  <c r="Z93" i="70"/>
  <c r="X93" i="70"/>
  <c r="V93" i="70"/>
  <c r="T93" i="70"/>
  <c r="P92" i="70"/>
  <c r="M92" i="70"/>
  <c r="N92" i="70" s="1"/>
  <c r="K92" i="70"/>
  <c r="L92" i="70" s="1"/>
  <c r="P91" i="70"/>
  <c r="M91" i="70"/>
  <c r="N91" i="70" s="1"/>
  <c r="K91" i="70"/>
  <c r="L91" i="70" s="1"/>
  <c r="Z90" i="70"/>
  <c r="X90" i="70"/>
  <c r="V90" i="70"/>
  <c r="T90" i="70"/>
  <c r="Z87" i="70"/>
  <c r="X87" i="70"/>
  <c r="V87" i="70"/>
  <c r="T87" i="70"/>
  <c r="Z86" i="70"/>
  <c r="X86" i="70"/>
  <c r="V86" i="70"/>
  <c r="T86" i="70"/>
  <c r="AD86" i="70" s="1"/>
  <c r="AE86" i="70" s="1"/>
  <c r="P85" i="70"/>
  <c r="M85" i="70"/>
  <c r="N85" i="70" s="1"/>
  <c r="K85" i="70"/>
  <c r="L85" i="70" s="1"/>
  <c r="J85" i="70"/>
  <c r="AA84" i="70"/>
  <c r="Z84" i="70"/>
  <c r="X84" i="70"/>
  <c r="V84" i="70"/>
  <c r="T84" i="70"/>
  <c r="Z83" i="70"/>
  <c r="X83" i="70"/>
  <c r="V83" i="70"/>
  <c r="T83" i="70"/>
  <c r="AC88" i="70"/>
  <c r="AA82" i="70"/>
  <c r="Z82" i="70"/>
  <c r="X82" i="70"/>
  <c r="V82" i="70"/>
  <c r="T82" i="70"/>
  <c r="P81" i="70"/>
  <c r="M81" i="70"/>
  <c r="N81" i="70" s="1"/>
  <c r="K81" i="70"/>
  <c r="L81" i="70" s="1"/>
  <c r="J81" i="70"/>
  <c r="Z80" i="70"/>
  <c r="X80" i="70"/>
  <c r="V80" i="70"/>
  <c r="T80" i="70"/>
  <c r="P79" i="70"/>
  <c r="P88" i="70" s="1"/>
  <c r="M79" i="70"/>
  <c r="N79" i="70" s="1"/>
  <c r="K79" i="70"/>
  <c r="L79" i="70" s="1"/>
  <c r="J79" i="70"/>
  <c r="AC77" i="70"/>
  <c r="AB77" i="70"/>
  <c r="AA76" i="70"/>
  <c r="Z76" i="70"/>
  <c r="X76" i="70"/>
  <c r="V76" i="70"/>
  <c r="T76" i="70"/>
  <c r="P75" i="70"/>
  <c r="M75" i="70"/>
  <c r="N75" i="70" s="1"/>
  <c r="K75" i="70"/>
  <c r="L75" i="70" s="1"/>
  <c r="J75" i="70"/>
  <c r="AA74" i="70"/>
  <c r="Z74" i="70"/>
  <c r="X74" i="70"/>
  <c r="V74" i="70"/>
  <c r="T74" i="70"/>
  <c r="P73" i="70"/>
  <c r="M73" i="70"/>
  <c r="N73" i="70" s="1"/>
  <c r="K73" i="70"/>
  <c r="L73" i="70" s="1"/>
  <c r="J73" i="70"/>
  <c r="Z72" i="70"/>
  <c r="Z77" i="70" s="1"/>
  <c r="X72" i="70"/>
  <c r="V72" i="70"/>
  <c r="T72" i="70"/>
  <c r="AC70" i="70"/>
  <c r="AB70" i="70"/>
  <c r="AA69" i="70"/>
  <c r="Z69" i="70"/>
  <c r="X69" i="70"/>
  <c r="V69" i="70"/>
  <c r="T69" i="70"/>
  <c r="P68" i="70"/>
  <c r="M68" i="70"/>
  <c r="N68" i="70" s="1"/>
  <c r="K68" i="70"/>
  <c r="L68" i="70" s="1"/>
  <c r="J68" i="70"/>
  <c r="AA67" i="70"/>
  <c r="Z67" i="70"/>
  <c r="X67" i="70"/>
  <c r="V67" i="70"/>
  <c r="T67" i="70"/>
  <c r="P66" i="70"/>
  <c r="M66" i="70"/>
  <c r="N66" i="70" s="1"/>
  <c r="K66" i="70"/>
  <c r="L66" i="70" s="1"/>
  <c r="J66" i="70"/>
  <c r="Z65" i="70"/>
  <c r="X65" i="70"/>
  <c r="V65" i="70"/>
  <c r="T65" i="70"/>
  <c r="Z64" i="70"/>
  <c r="X64" i="70"/>
  <c r="V64" i="70"/>
  <c r="T64" i="70"/>
  <c r="AC62" i="70"/>
  <c r="AA61" i="70"/>
  <c r="Z61" i="70"/>
  <c r="X61" i="70"/>
  <c r="V61" i="70"/>
  <c r="T61" i="70"/>
  <c r="AA60" i="70"/>
  <c r="Z60" i="70"/>
  <c r="X60" i="70"/>
  <c r="V60" i="70"/>
  <c r="T60" i="70"/>
  <c r="Z59" i="70"/>
  <c r="X59" i="70"/>
  <c r="V59" i="70"/>
  <c r="T59" i="70"/>
  <c r="AC57" i="70"/>
  <c r="AA56" i="70"/>
  <c r="Z56" i="70"/>
  <c r="X56" i="70"/>
  <c r="V56" i="70"/>
  <c r="T56" i="70"/>
  <c r="P55" i="70"/>
  <c r="M55" i="70"/>
  <c r="N55" i="70" s="1"/>
  <c r="L55" i="70"/>
  <c r="J55" i="70"/>
  <c r="P54" i="70"/>
  <c r="P57" i="70" s="1"/>
  <c r="M54" i="70"/>
  <c r="N54" i="70" s="1"/>
  <c r="N57" i="70" s="1"/>
  <c r="L54" i="70"/>
  <c r="J54" i="70"/>
  <c r="AA53" i="70"/>
  <c r="Z53" i="70"/>
  <c r="X53" i="70"/>
  <c r="V53" i="70"/>
  <c r="T53" i="70"/>
  <c r="AA52" i="70"/>
  <c r="Z52" i="70"/>
  <c r="X52" i="70"/>
  <c r="V52" i="70"/>
  <c r="T52" i="70"/>
  <c r="V51" i="70"/>
  <c r="T51" i="70"/>
  <c r="Z50" i="70"/>
  <c r="X50" i="70"/>
  <c r="V50" i="70"/>
  <c r="T50" i="70"/>
  <c r="Q48" i="70"/>
  <c r="Q127" i="70" s="1"/>
  <c r="AA47" i="70"/>
  <c r="Z47" i="70"/>
  <c r="X47" i="70"/>
  <c r="V47" i="70"/>
  <c r="T47" i="70"/>
  <c r="P46" i="70"/>
  <c r="M46" i="70"/>
  <c r="N46" i="70" s="1"/>
  <c r="L46" i="70"/>
  <c r="J46" i="70"/>
  <c r="AA45" i="70"/>
  <c r="Z45" i="70"/>
  <c r="X45" i="70"/>
  <c r="V45" i="70"/>
  <c r="T45" i="70"/>
  <c r="P44" i="70"/>
  <c r="M44" i="70"/>
  <c r="N44" i="70" s="1"/>
  <c r="L44" i="70"/>
  <c r="J44" i="70"/>
  <c r="P43" i="70"/>
  <c r="M43" i="70"/>
  <c r="N43" i="70" s="1"/>
  <c r="L43" i="70"/>
  <c r="J43" i="70"/>
  <c r="AC42" i="70"/>
  <c r="AC48" i="70" s="1"/>
  <c r="AA42" i="70"/>
  <c r="Z42" i="70"/>
  <c r="X42" i="70"/>
  <c r="V42" i="70"/>
  <c r="T42" i="70"/>
  <c r="M41" i="70"/>
  <c r="N41" i="70" s="1"/>
  <c r="L41" i="70"/>
  <c r="J41" i="70"/>
  <c r="M40" i="70"/>
  <c r="N40" i="70" s="1"/>
  <c r="L40" i="70"/>
  <c r="J40" i="70"/>
  <c r="AC38" i="70"/>
  <c r="AA37" i="70"/>
  <c r="Z37" i="70"/>
  <c r="X37" i="70"/>
  <c r="V37" i="70"/>
  <c r="T37" i="70"/>
  <c r="AA36" i="70"/>
  <c r="Z36" i="70"/>
  <c r="X36" i="70"/>
  <c r="V36" i="70"/>
  <c r="T36" i="70"/>
  <c r="P35" i="70"/>
  <c r="M35" i="70"/>
  <c r="N35" i="70" s="1"/>
  <c r="L35" i="70"/>
  <c r="J35" i="70"/>
  <c r="Z34" i="70"/>
  <c r="X34" i="70"/>
  <c r="V34" i="70"/>
  <c r="T34" i="70"/>
  <c r="P33" i="70"/>
  <c r="M33" i="70"/>
  <c r="N33" i="70" s="1"/>
  <c r="L33" i="70"/>
  <c r="J33" i="70"/>
  <c r="AA32" i="70"/>
  <c r="Z32" i="70"/>
  <c r="X32" i="70"/>
  <c r="V32" i="70"/>
  <c r="T32" i="70"/>
  <c r="P31" i="70"/>
  <c r="M31" i="70"/>
  <c r="N31" i="70" s="1"/>
  <c r="L31" i="70"/>
  <c r="J31" i="70"/>
  <c r="AA30" i="70"/>
  <c r="AA38" i="70" s="1"/>
  <c r="Z30" i="70"/>
  <c r="X30" i="70"/>
  <c r="V30" i="70"/>
  <c r="T30" i="70"/>
  <c r="P29" i="70"/>
  <c r="M29" i="70"/>
  <c r="N29" i="70" s="1"/>
  <c r="L29" i="70"/>
  <c r="J29" i="70"/>
  <c r="Z28" i="70"/>
  <c r="X28" i="70"/>
  <c r="V28" i="70"/>
  <c r="T28" i="70"/>
  <c r="P27" i="70"/>
  <c r="M27" i="70"/>
  <c r="N27" i="70" s="1"/>
  <c r="L27" i="70"/>
  <c r="J27" i="70"/>
  <c r="P26" i="70"/>
  <c r="M26" i="70"/>
  <c r="N26" i="70" s="1"/>
  <c r="L26" i="70"/>
  <c r="J26" i="70"/>
  <c r="AC24" i="70"/>
  <c r="AA23" i="70"/>
  <c r="Z23" i="70"/>
  <c r="X23" i="70"/>
  <c r="V23" i="70"/>
  <c r="T23" i="70"/>
  <c r="P22" i="70"/>
  <c r="M22" i="70"/>
  <c r="N22" i="70" s="1"/>
  <c r="K22" i="70"/>
  <c r="L22" i="70" s="1"/>
  <c r="J22" i="70"/>
  <c r="AA21" i="70"/>
  <c r="Z21" i="70"/>
  <c r="X21" i="70"/>
  <c r="V21" i="70"/>
  <c r="T21" i="70"/>
  <c r="P20" i="70"/>
  <c r="P24" i="70" s="1"/>
  <c r="M20" i="70"/>
  <c r="N20" i="70" s="1"/>
  <c r="K20" i="70"/>
  <c r="L20" i="70" s="1"/>
  <c r="J20" i="70"/>
  <c r="AA19" i="70"/>
  <c r="Z19" i="70"/>
  <c r="X19" i="70"/>
  <c r="V19" i="70"/>
  <c r="T19" i="70"/>
  <c r="AA18" i="70"/>
  <c r="Z18" i="70"/>
  <c r="X18" i="70"/>
  <c r="V18" i="70"/>
  <c r="T18" i="70"/>
  <c r="AF17" i="70"/>
  <c r="Z17" i="70"/>
  <c r="X17" i="70"/>
  <c r="V17" i="70"/>
  <c r="T17" i="70"/>
  <c r="AC15" i="70"/>
  <c r="Z14" i="70"/>
  <c r="X14" i="70"/>
  <c r="V14" i="70"/>
  <c r="T14" i="70"/>
  <c r="AA13" i="70"/>
  <c r="Z13" i="70"/>
  <c r="X13" i="70"/>
  <c r="V13" i="70"/>
  <c r="T13" i="70"/>
  <c r="P12" i="70"/>
  <c r="M12" i="70"/>
  <c r="N12" i="70" s="1"/>
  <c r="L12" i="70"/>
  <c r="J12" i="70"/>
  <c r="AA11" i="70"/>
  <c r="Z11" i="70"/>
  <c r="X11" i="70"/>
  <c r="X15" i="70" s="1"/>
  <c r="V11" i="70"/>
  <c r="V15" i="70" s="1"/>
  <c r="T11" i="70"/>
  <c r="T15" i="70" s="1"/>
  <c r="P10" i="70"/>
  <c r="P15" i="70" s="1"/>
  <c r="M10" i="70"/>
  <c r="N10" i="70" s="1"/>
  <c r="L10" i="70"/>
  <c r="J10" i="70"/>
  <c r="M9" i="70"/>
  <c r="V48" i="70" l="1"/>
  <c r="Z48" i="70"/>
  <c r="T111" i="70"/>
  <c r="Z15" i="70"/>
  <c r="T62" i="70"/>
  <c r="L70" i="70"/>
  <c r="X98" i="70"/>
  <c r="AA98" i="70"/>
  <c r="Z98" i="70"/>
  <c r="L111" i="70"/>
  <c r="X62" i="70"/>
  <c r="L98" i="70"/>
  <c r="T24" i="70"/>
  <c r="AA57" i="70"/>
  <c r="V70" i="70"/>
  <c r="L126" i="70"/>
  <c r="X24" i="70"/>
  <c r="T57" i="70"/>
  <c r="P126" i="70"/>
  <c r="X57" i="70"/>
  <c r="V77" i="70"/>
  <c r="AA111" i="70"/>
  <c r="J15" i="70"/>
  <c r="T48" i="70"/>
  <c r="AA48" i="70"/>
  <c r="AD47" i="70"/>
  <c r="AE47" i="70" s="1"/>
  <c r="V62" i="70"/>
  <c r="X70" i="70"/>
  <c r="R92" i="70"/>
  <c r="AE92" i="70" s="1"/>
  <c r="R117" i="70"/>
  <c r="AE117" i="70" s="1"/>
  <c r="AD119" i="70"/>
  <c r="AE119" i="70" s="1"/>
  <c r="Z24" i="70"/>
  <c r="J24" i="70"/>
  <c r="AA70" i="70"/>
  <c r="P111" i="70"/>
  <c r="V88" i="70"/>
  <c r="R12" i="70"/>
  <c r="AE12" i="70" s="1"/>
  <c r="AD14" i="70"/>
  <c r="AE14" i="70" s="1"/>
  <c r="L48" i="70"/>
  <c r="AD51" i="70"/>
  <c r="AE51" i="70" s="1"/>
  <c r="AD122" i="70"/>
  <c r="AE122" i="70" s="1"/>
  <c r="AD11" i="70"/>
  <c r="AE11" i="70" s="1"/>
  <c r="AA15" i="70"/>
  <c r="V24" i="70"/>
  <c r="AD18" i="70"/>
  <c r="AE18" i="70" s="1"/>
  <c r="AA24" i="70"/>
  <c r="N24" i="70"/>
  <c r="X48" i="70"/>
  <c r="R43" i="70"/>
  <c r="AE43" i="70" s="1"/>
  <c r="V57" i="70"/>
  <c r="Z62" i="70"/>
  <c r="AD64" i="70"/>
  <c r="AE64" i="70" s="1"/>
  <c r="AD65" i="70"/>
  <c r="AE65" i="70" s="1"/>
  <c r="J70" i="70"/>
  <c r="P70" i="70"/>
  <c r="X77" i="70"/>
  <c r="P98" i="70"/>
  <c r="AD116" i="70"/>
  <c r="AA126" i="70"/>
  <c r="AD36" i="70"/>
  <c r="AE36" i="70" s="1"/>
  <c r="N77" i="70"/>
  <c r="AD67" i="70"/>
  <c r="AE67" i="70" s="1"/>
  <c r="N88" i="70"/>
  <c r="AD21" i="70"/>
  <c r="AE21" i="70" s="1"/>
  <c r="R29" i="70"/>
  <c r="AE29" i="70" s="1"/>
  <c r="AD37" i="70"/>
  <c r="AE37" i="70" s="1"/>
  <c r="AD56" i="70"/>
  <c r="AE56" i="70" s="1"/>
  <c r="N70" i="70"/>
  <c r="L77" i="70"/>
  <c r="AD74" i="70"/>
  <c r="AE74" i="70" s="1"/>
  <c r="AA77" i="70"/>
  <c r="Z88" i="70"/>
  <c r="R85" i="70"/>
  <c r="AE85" i="70" s="1"/>
  <c r="AC111" i="70"/>
  <c r="R81" i="70"/>
  <c r="AE81" i="70" s="1"/>
  <c r="N9" i="70"/>
  <c r="R9" i="70" s="1"/>
  <c r="R10" i="70"/>
  <c r="AE10" i="70" s="1"/>
  <c r="AD13" i="70"/>
  <c r="AE13" i="70" s="1"/>
  <c r="AD19" i="70"/>
  <c r="AE19" i="70" s="1"/>
  <c r="AD23" i="70"/>
  <c r="AE23" i="70" s="1"/>
  <c r="AD34" i="70"/>
  <c r="AE34" i="70" s="1"/>
  <c r="R35" i="70"/>
  <c r="AE35" i="70" s="1"/>
  <c r="N48" i="70"/>
  <c r="P48" i="70"/>
  <c r="AD45" i="70"/>
  <c r="AE45" i="70" s="1"/>
  <c r="Z70" i="70"/>
  <c r="R100" i="70"/>
  <c r="N111" i="70"/>
  <c r="R104" i="70"/>
  <c r="AE104" i="70" s="1"/>
  <c r="R121" i="70"/>
  <c r="AE121" i="70" s="1"/>
  <c r="R22" i="70"/>
  <c r="AE22" i="70" s="1"/>
  <c r="N38" i="70"/>
  <c r="R27" i="70"/>
  <c r="AE27" i="70" s="1"/>
  <c r="R31" i="70"/>
  <c r="AE31" i="70" s="1"/>
  <c r="R41" i="70"/>
  <c r="AE41" i="70" s="1"/>
  <c r="R46" i="70"/>
  <c r="AE46" i="70" s="1"/>
  <c r="R55" i="70"/>
  <c r="AE55" i="70" s="1"/>
  <c r="AD60" i="70"/>
  <c r="AE60" i="70" s="1"/>
  <c r="AA62" i="70"/>
  <c r="AD61" i="70"/>
  <c r="AE61" i="70" s="1"/>
  <c r="AD69" i="70"/>
  <c r="AE69" i="70" s="1"/>
  <c r="R75" i="70"/>
  <c r="AE75" i="70" s="1"/>
  <c r="AD76" i="70"/>
  <c r="AE76" i="70" s="1"/>
  <c r="AB127" i="70"/>
  <c r="R79" i="70"/>
  <c r="AE79" i="70" s="1"/>
  <c r="AD82" i="70"/>
  <c r="AE82" i="70" s="1"/>
  <c r="AD83" i="70"/>
  <c r="AE83" i="70" s="1"/>
  <c r="AD84" i="70"/>
  <c r="AE84" i="70" s="1"/>
  <c r="N98" i="70"/>
  <c r="AD93" i="70"/>
  <c r="AE93" i="70" s="1"/>
  <c r="AD95" i="70"/>
  <c r="AE95" i="70" s="1"/>
  <c r="AD97" i="70"/>
  <c r="AE97" i="70" s="1"/>
  <c r="R103" i="70"/>
  <c r="AE103" i="70" s="1"/>
  <c r="AD105" i="70"/>
  <c r="AE105" i="70" s="1"/>
  <c r="R106" i="70"/>
  <c r="AE106" i="70" s="1"/>
  <c r="R107" i="70"/>
  <c r="AE107" i="70" s="1"/>
  <c r="AD108" i="70"/>
  <c r="AE108" i="70" s="1"/>
  <c r="R113" i="70"/>
  <c r="R115" i="70"/>
  <c r="AE115" i="70" s="1"/>
  <c r="Z126" i="70"/>
  <c r="AD125" i="70"/>
  <c r="AE125" i="70" s="1"/>
  <c r="V111" i="70"/>
  <c r="Z111" i="70"/>
  <c r="AD110" i="70"/>
  <c r="AE110" i="70" s="1"/>
  <c r="T38" i="70"/>
  <c r="V38" i="70"/>
  <c r="AD30" i="70"/>
  <c r="AE30" i="70" s="1"/>
  <c r="L24" i="70"/>
  <c r="R20" i="70"/>
  <c r="AC127" i="70"/>
  <c r="R33" i="70"/>
  <c r="AE33" i="70" s="1"/>
  <c r="AD53" i="70"/>
  <c r="AE53" i="70" s="1"/>
  <c r="J98" i="70"/>
  <c r="R94" i="70"/>
  <c r="AE94" i="70" s="1"/>
  <c r="R109" i="70"/>
  <c r="AE109" i="70" s="1"/>
  <c r="R114" i="70"/>
  <c r="R118" i="70"/>
  <c r="AE118" i="70" s="1"/>
  <c r="R120" i="70"/>
  <c r="AE120" i="70" s="1"/>
  <c r="R123" i="70"/>
  <c r="AE123" i="70" s="1"/>
  <c r="J126" i="70"/>
  <c r="L15" i="70"/>
  <c r="X88" i="70"/>
  <c r="AD17" i="70"/>
  <c r="J38" i="70"/>
  <c r="P38" i="70"/>
  <c r="X38" i="70"/>
  <c r="Z57" i="70"/>
  <c r="J57" i="70"/>
  <c r="R54" i="70"/>
  <c r="R68" i="70"/>
  <c r="AE68" i="70" s="1"/>
  <c r="L88" i="70"/>
  <c r="T88" i="70"/>
  <c r="AD80" i="70"/>
  <c r="AA88" i="70"/>
  <c r="AD87" i="70"/>
  <c r="AE87" i="70" s="1"/>
  <c r="J88" i="70"/>
  <c r="AD90" i="70"/>
  <c r="R91" i="70"/>
  <c r="X111" i="70"/>
  <c r="AD102" i="70"/>
  <c r="R124" i="70"/>
  <c r="AE124" i="70" s="1"/>
  <c r="AD28" i="70"/>
  <c r="L38" i="70"/>
  <c r="R26" i="70"/>
  <c r="Z38" i="70"/>
  <c r="AD32" i="70"/>
  <c r="AE32" i="70" s="1"/>
  <c r="R40" i="70"/>
  <c r="AD42" i="70"/>
  <c r="R44" i="70"/>
  <c r="AE44" i="70" s="1"/>
  <c r="AD50" i="70"/>
  <c r="AD52" i="70"/>
  <c r="AE52" i="70" s="1"/>
  <c r="L57" i="70"/>
  <c r="R66" i="70"/>
  <c r="T77" i="70"/>
  <c r="J77" i="70"/>
  <c r="R73" i="70"/>
  <c r="P77" i="70"/>
  <c r="V98" i="70"/>
  <c r="R96" i="70"/>
  <c r="AE96" i="70" s="1"/>
  <c r="T98" i="70"/>
  <c r="R101" i="70"/>
  <c r="J111" i="70"/>
  <c r="N126" i="70"/>
  <c r="T126" i="70"/>
  <c r="T70" i="70"/>
  <c r="J48" i="70"/>
  <c r="AD59" i="70"/>
  <c r="AD72" i="70"/>
  <c r="AC80" i="59"/>
  <c r="AC82" i="59"/>
  <c r="AA21" i="59"/>
  <c r="AA22" i="59" s="1"/>
  <c r="AA16" i="59"/>
  <c r="AA123" i="59"/>
  <c r="Z123" i="59"/>
  <c r="X123" i="59"/>
  <c r="V123" i="59"/>
  <c r="T123" i="59"/>
  <c r="P122" i="59"/>
  <c r="M122" i="59"/>
  <c r="N122" i="59" s="1"/>
  <c r="L122" i="59"/>
  <c r="J122" i="59"/>
  <c r="P121" i="59"/>
  <c r="M121" i="59"/>
  <c r="N121" i="59" s="1"/>
  <c r="L121" i="59"/>
  <c r="J121" i="59"/>
  <c r="AC124" i="59"/>
  <c r="Z120" i="59"/>
  <c r="X120" i="59"/>
  <c r="V120" i="59"/>
  <c r="T120" i="59"/>
  <c r="P119" i="59"/>
  <c r="M119" i="59"/>
  <c r="N119" i="59" s="1"/>
  <c r="L119" i="59"/>
  <c r="J119" i="59"/>
  <c r="R119" i="59" s="1"/>
  <c r="AE119" i="59" s="1"/>
  <c r="P118" i="59"/>
  <c r="M118" i="59"/>
  <c r="N118" i="59" s="1"/>
  <c r="L118" i="59"/>
  <c r="J118" i="59"/>
  <c r="AA117" i="59"/>
  <c r="Z117" i="59"/>
  <c r="X117" i="59"/>
  <c r="V117" i="59"/>
  <c r="T117" i="59"/>
  <c r="P116" i="59"/>
  <c r="M116" i="59"/>
  <c r="N116" i="59" s="1"/>
  <c r="L116" i="59"/>
  <c r="J116" i="59"/>
  <c r="J124" i="59" s="1"/>
  <c r="P115" i="59"/>
  <c r="M115" i="59"/>
  <c r="N115" i="59" s="1"/>
  <c r="L115" i="59"/>
  <c r="J115" i="59"/>
  <c r="AA114" i="59"/>
  <c r="Z114" i="59"/>
  <c r="X114" i="59"/>
  <c r="V114" i="59"/>
  <c r="T114" i="59"/>
  <c r="T124" i="59" s="1"/>
  <c r="P113" i="59"/>
  <c r="M113" i="59"/>
  <c r="N113" i="59" s="1"/>
  <c r="L113" i="59"/>
  <c r="J113" i="59"/>
  <c r="P112" i="59"/>
  <c r="M112" i="59"/>
  <c r="N112" i="59" s="1"/>
  <c r="L112" i="59"/>
  <c r="J112" i="59"/>
  <c r="P111" i="59"/>
  <c r="M111" i="59"/>
  <c r="N111" i="59" s="1"/>
  <c r="L111" i="59"/>
  <c r="J111" i="59"/>
  <c r="AB109" i="59"/>
  <c r="AA108" i="59"/>
  <c r="Z108" i="59"/>
  <c r="X108" i="59"/>
  <c r="V108" i="59"/>
  <c r="T108" i="59"/>
  <c r="P107" i="59"/>
  <c r="M107" i="59"/>
  <c r="N107" i="59" s="1"/>
  <c r="L107" i="59"/>
  <c r="J107" i="59"/>
  <c r="AC106" i="59"/>
  <c r="AA106" i="59"/>
  <c r="Z106" i="59"/>
  <c r="X106" i="59"/>
  <c r="V106" i="59"/>
  <c r="AD106" i="59" s="1"/>
  <c r="AE106" i="59" s="1"/>
  <c r="T106" i="59"/>
  <c r="P105" i="59"/>
  <c r="M105" i="59"/>
  <c r="N105" i="59" s="1"/>
  <c r="L105" i="59"/>
  <c r="J105" i="59"/>
  <c r="P104" i="59"/>
  <c r="M104" i="59"/>
  <c r="N104" i="59" s="1"/>
  <c r="L104" i="59"/>
  <c r="J104" i="59"/>
  <c r="AC103" i="59"/>
  <c r="AA103" i="59"/>
  <c r="AA109" i="59" s="1"/>
  <c r="Z103" i="59"/>
  <c r="Z109" i="59" s="1"/>
  <c r="X103" i="59"/>
  <c r="V103" i="59"/>
  <c r="T103" i="59"/>
  <c r="P102" i="59"/>
  <c r="M102" i="59"/>
  <c r="N102" i="59" s="1"/>
  <c r="L102" i="59"/>
  <c r="J102" i="59"/>
  <c r="P101" i="59"/>
  <c r="M101" i="59"/>
  <c r="N101" i="59" s="1"/>
  <c r="L101" i="59"/>
  <c r="J101" i="59"/>
  <c r="R101" i="59" s="1"/>
  <c r="AE101" i="59" s="1"/>
  <c r="AC100" i="59"/>
  <c r="AD100" i="59" s="1"/>
  <c r="AA100" i="59"/>
  <c r="Z100" i="59"/>
  <c r="X100" i="59"/>
  <c r="V100" i="59"/>
  <c r="T100" i="59"/>
  <c r="P99" i="59"/>
  <c r="M99" i="59"/>
  <c r="N99" i="59" s="1"/>
  <c r="L99" i="59"/>
  <c r="J99" i="59"/>
  <c r="P98" i="59"/>
  <c r="M98" i="59"/>
  <c r="N98" i="59" s="1"/>
  <c r="L98" i="59"/>
  <c r="J98" i="59"/>
  <c r="AC95" i="59"/>
  <c r="AC96" i="59" s="1"/>
  <c r="AA95" i="59"/>
  <c r="Z95" i="59"/>
  <c r="X95" i="59"/>
  <c r="V95" i="59"/>
  <c r="T95" i="59"/>
  <c r="P94" i="59"/>
  <c r="M94" i="59"/>
  <c r="N94" i="59" s="1"/>
  <c r="K94" i="59"/>
  <c r="L94" i="59" s="1"/>
  <c r="J94" i="59"/>
  <c r="J96" i="59" s="1"/>
  <c r="AA93" i="59"/>
  <c r="AD93" i="59" s="1"/>
  <c r="AE93" i="59" s="1"/>
  <c r="Z93" i="59"/>
  <c r="X93" i="59"/>
  <c r="V93" i="59"/>
  <c r="T93" i="59"/>
  <c r="P92" i="59"/>
  <c r="M92" i="59"/>
  <c r="N92" i="59" s="1"/>
  <c r="K92" i="59"/>
  <c r="L92" i="59" s="1"/>
  <c r="J92" i="59"/>
  <c r="AA91" i="59"/>
  <c r="Z91" i="59"/>
  <c r="X91" i="59"/>
  <c r="V91" i="59"/>
  <c r="V96" i="59" s="1"/>
  <c r="T91" i="59"/>
  <c r="P90" i="59"/>
  <c r="M90" i="59"/>
  <c r="N90" i="59" s="1"/>
  <c r="K90" i="59"/>
  <c r="L90" i="59" s="1"/>
  <c r="P89" i="59"/>
  <c r="M89" i="59"/>
  <c r="N89" i="59" s="1"/>
  <c r="K89" i="59"/>
  <c r="L89" i="59" s="1"/>
  <c r="Z88" i="59"/>
  <c r="X88" i="59"/>
  <c r="V88" i="59"/>
  <c r="T88" i="59"/>
  <c r="T96" i="59" s="1"/>
  <c r="Z85" i="59"/>
  <c r="Z86" i="59" s="1"/>
  <c r="X85" i="59"/>
  <c r="V85" i="59"/>
  <c r="T85" i="59"/>
  <c r="Z84" i="59"/>
  <c r="X84" i="59"/>
  <c r="V84" i="59"/>
  <c r="T84" i="59"/>
  <c r="P83" i="59"/>
  <c r="M83" i="59"/>
  <c r="N83" i="59" s="1"/>
  <c r="K83" i="59"/>
  <c r="L83" i="59" s="1"/>
  <c r="J83" i="59"/>
  <c r="R83" i="59" s="1"/>
  <c r="AE83" i="59" s="1"/>
  <c r="AA82" i="59"/>
  <c r="Z82" i="59"/>
  <c r="X82" i="59"/>
  <c r="V82" i="59"/>
  <c r="T82" i="59"/>
  <c r="Z81" i="59"/>
  <c r="X81" i="59"/>
  <c r="V81" i="59"/>
  <c r="T81" i="59"/>
  <c r="AA80" i="59"/>
  <c r="Z80" i="59"/>
  <c r="X80" i="59"/>
  <c r="V80" i="59"/>
  <c r="T80" i="59"/>
  <c r="P79" i="59"/>
  <c r="M79" i="59"/>
  <c r="N79" i="59" s="1"/>
  <c r="K79" i="59"/>
  <c r="L79" i="59" s="1"/>
  <c r="J79" i="59"/>
  <c r="Z78" i="59"/>
  <c r="X78" i="59"/>
  <c r="V78" i="59"/>
  <c r="T78" i="59"/>
  <c r="AD78" i="59" s="1"/>
  <c r="P77" i="59"/>
  <c r="M77" i="59"/>
  <c r="N77" i="59" s="1"/>
  <c r="K77" i="59"/>
  <c r="L77" i="59" s="1"/>
  <c r="J77" i="59"/>
  <c r="AC75" i="59"/>
  <c r="AB75" i="59"/>
  <c r="AA74" i="59"/>
  <c r="Z74" i="59"/>
  <c r="X74" i="59"/>
  <c r="V74" i="59"/>
  <c r="T74" i="59"/>
  <c r="P73" i="59"/>
  <c r="P75" i="59" s="1"/>
  <c r="M73" i="59"/>
  <c r="N73" i="59" s="1"/>
  <c r="K73" i="59"/>
  <c r="L73" i="59" s="1"/>
  <c r="J73" i="59"/>
  <c r="AA72" i="59"/>
  <c r="Z72" i="59"/>
  <c r="X72" i="59"/>
  <c r="V72" i="59"/>
  <c r="T72" i="59"/>
  <c r="P71" i="59"/>
  <c r="M71" i="59"/>
  <c r="N71" i="59" s="1"/>
  <c r="K71" i="59"/>
  <c r="L71" i="59" s="1"/>
  <c r="J71" i="59"/>
  <c r="Z70" i="59"/>
  <c r="X70" i="59"/>
  <c r="V70" i="59"/>
  <c r="V75" i="59" s="1"/>
  <c r="T70" i="59"/>
  <c r="AC68" i="59"/>
  <c r="AB68" i="59"/>
  <c r="AA67" i="59"/>
  <c r="Z67" i="59"/>
  <c r="X67" i="59"/>
  <c r="V67" i="59"/>
  <c r="T67" i="59"/>
  <c r="P66" i="59"/>
  <c r="M66" i="59"/>
  <c r="N66" i="59" s="1"/>
  <c r="K66" i="59"/>
  <c r="L66" i="59" s="1"/>
  <c r="J66" i="59"/>
  <c r="AA65" i="59"/>
  <c r="Z65" i="59"/>
  <c r="X65" i="59"/>
  <c r="V65" i="59"/>
  <c r="T65" i="59"/>
  <c r="P64" i="59"/>
  <c r="M64" i="59"/>
  <c r="N64" i="59" s="1"/>
  <c r="K64" i="59"/>
  <c r="L64" i="59" s="1"/>
  <c r="J64" i="59"/>
  <c r="R64" i="59" s="1"/>
  <c r="AE64" i="59" s="1"/>
  <c r="Z63" i="59"/>
  <c r="X63" i="59"/>
  <c r="X68" i="59" s="1"/>
  <c r="V63" i="59"/>
  <c r="V68" i="59" s="1"/>
  <c r="T63" i="59"/>
  <c r="Z62" i="59"/>
  <c r="X62" i="59"/>
  <c r="V62" i="59"/>
  <c r="T62" i="59"/>
  <c r="AC60" i="59"/>
  <c r="AA59" i="59"/>
  <c r="Z59" i="59"/>
  <c r="X59" i="59"/>
  <c r="V59" i="59"/>
  <c r="T59" i="59"/>
  <c r="T60" i="59" s="1"/>
  <c r="AA58" i="59"/>
  <c r="Z58" i="59"/>
  <c r="X58" i="59"/>
  <c r="V58" i="59"/>
  <c r="T58" i="59"/>
  <c r="Z57" i="59"/>
  <c r="X57" i="59"/>
  <c r="V57" i="59"/>
  <c r="T57" i="59"/>
  <c r="AC55" i="59"/>
  <c r="AA54" i="59"/>
  <c r="Z54" i="59"/>
  <c r="X54" i="59"/>
  <c r="V54" i="59"/>
  <c r="T54" i="59"/>
  <c r="P53" i="59"/>
  <c r="M53" i="59"/>
  <c r="N53" i="59" s="1"/>
  <c r="L53" i="59"/>
  <c r="J53" i="59"/>
  <c r="P52" i="59"/>
  <c r="M52" i="59"/>
  <c r="N52" i="59" s="1"/>
  <c r="L52" i="59"/>
  <c r="L55" i="59" s="1"/>
  <c r="J52" i="59"/>
  <c r="AA51" i="59"/>
  <c r="Z51" i="59"/>
  <c r="X51" i="59"/>
  <c r="V51" i="59"/>
  <c r="T51" i="59"/>
  <c r="AA50" i="59"/>
  <c r="Z50" i="59"/>
  <c r="X50" i="59"/>
  <c r="V50" i="59"/>
  <c r="T50" i="59"/>
  <c r="V49" i="59"/>
  <c r="AD49" i="59" s="1"/>
  <c r="AE49" i="59" s="1"/>
  <c r="T49" i="59"/>
  <c r="Z48" i="59"/>
  <c r="X48" i="59"/>
  <c r="V48" i="59"/>
  <c r="T48" i="59"/>
  <c r="Q46" i="59"/>
  <c r="Q125" i="59" s="1"/>
  <c r="AA45" i="59"/>
  <c r="Z45" i="59"/>
  <c r="X45" i="59"/>
  <c r="V45" i="59"/>
  <c r="T45" i="59"/>
  <c r="P44" i="59"/>
  <c r="P46" i="59" s="1"/>
  <c r="M44" i="59"/>
  <c r="N44" i="59" s="1"/>
  <c r="L44" i="59"/>
  <c r="J44" i="59"/>
  <c r="AA43" i="59"/>
  <c r="Z43" i="59"/>
  <c r="X43" i="59"/>
  <c r="V43" i="59"/>
  <c r="T43" i="59"/>
  <c r="P42" i="59"/>
  <c r="M42" i="59"/>
  <c r="N42" i="59" s="1"/>
  <c r="L42" i="59"/>
  <c r="J42" i="59"/>
  <c r="P41" i="59"/>
  <c r="M41" i="59"/>
  <c r="N41" i="59" s="1"/>
  <c r="L41" i="59"/>
  <c r="J41" i="59"/>
  <c r="AC46" i="59"/>
  <c r="AA40" i="59"/>
  <c r="Z40" i="59"/>
  <c r="X40" i="59"/>
  <c r="V40" i="59"/>
  <c r="T40" i="59"/>
  <c r="M39" i="59"/>
  <c r="N39" i="59" s="1"/>
  <c r="L39" i="59"/>
  <c r="J39" i="59"/>
  <c r="M38" i="59"/>
  <c r="N38" i="59" s="1"/>
  <c r="L38" i="59"/>
  <c r="J38" i="59"/>
  <c r="AC36" i="59"/>
  <c r="AA35" i="59"/>
  <c r="Z35" i="59"/>
  <c r="X35" i="59"/>
  <c r="V35" i="59"/>
  <c r="T35" i="59"/>
  <c r="AA34" i="59"/>
  <c r="Z34" i="59"/>
  <c r="X34" i="59"/>
  <c r="V34" i="59"/>
  <c r="T34" i="59"/>
  <c r="P33" i="59"/>
  <c r="M33" i="59"/>
  <c r="N33" i="59" s="1"/>
  <c r="L33" i="59"/>
  <c r="J33" i="59"/>
  <c r="Z32" i="59"/>
  <c r="X32" i="59"/>
  <c r="V32" i="59"/>
  <c r="T32" i="59"/>
  <c r="P31" i="59"/>
  <c r="M31" i="59"/>
  <c r="N31" i="59" s="1"/>
  <c r="L31" i="59"/>
  <c r="L36" i="59" s="1"/>
  <c r="J31" i="59"/>
  <c r="AA30" i="59"/>
  <c r="Z30" i="59"/>
  <c r="X30" i="59"/>
  <c r="V30" i="59"/>
  <c r="T30" i="59"/>
  <c r="P29" i="59"/>
  <c r="M29" i="59"/>
  <c r="N29" i="59" s="1"/>
  <c r="L29" i="59"/>
  <c r="J29" i="59"/>
  <c r="AA28" i="59"/>
  <c r="Z28" i="59"/>
  <c r="X28" i="59"/>
  <c r="X36" i="59" s="1"/>
  <c r="V28" i="59"/>
  <c r="T28" i="59"/>
  <c r="P27" i="59"/>
  <c r="M27" i="59"/>
  <c r="N27" i="59" s="1"/>
  <c r="L27" i="59"/>
  <c r="J27" i="59"/>
  <c r="Z26" i="59"/>
  <c r="X26" i="59"/>
  <c r="V26" i="59"/>
  <c r="V36" i="59" s="1"/>
  <c r="T26" i="59"/>
  <c r="P25" i="59"/>
  <c r="P36" i="59" s="1"/>
  <c r="M25" i="59"/>
  <c r="N25" i="59" s="1"/>
  <c r="L25" i="59"/>
  <c r="J25" i="59"/>
  <c r="P24" i="59"/>
  <c r="M24" i="59"/>
  <c r="N24" i="59" s="1"/>
  <c r="L24" i="59"/>
  <c r="J24" i="59"/>
  <c r="AC22" i="59"/>
  <c r="Z21" i="59"/>
  <c r="X21" i="59"/>
  <c r="V21" i="59"/>
  <c r="T21" i="59"/>
  <c r="P20" i="59"/>
  <c r="R20" i="59" s="1"/>
  <c r="AE20" i="59" s="1"/>
  <c r="M20" i="59"/>
  <c r="N20" i="59" s="1"/>
  <c r="K20" i="59"/>
  <c r="L20" i="59" s="1"/>
  <c r="J20" i="59"/>
  <c r="AA19" i="59"/>
  <c r="Z19" i="59"/>
  <c r="X19" i="59"/>
  <c r="V19" i="59"/>
  <c r="T19" i="59"/>
  <c r="P18" i="59"/>
  <c r="M18" i="59"/>
  <c r="N18" i="59" s="1"/>
  <c r="K18" i="59"/>
  <c r="L18" i="59" s="1"/>
  <c r="J18" i="59"/>
  <c r="J22" i="59" s="1"/>
  <c r="AA17" i="59"/>
  <c r="Z17" i="59"/>
  <c r="X17" i="59"/>
  <c r="V17" i="59"/>
  <c r="T17" i="59"/>
  <c r="Z16" i="59"/>
  <c r="X16" i="59"/>
  <c r="V16" i="59"/>
  <c r="T16" i="59"/>
  <c r="AD16" i="59" s="1"/>
  <c r="AE16" i="59" s="1"/>
  <c r="AF15" i="59"/>
  <c r="Z15" i="59"/>
  <c r="Z22" i="59" s="1"/>
  <c r="X15" i="59"/>
  <c r="AD15" i="59" s="1"/>
  <c r="AE15" i="59" s="1"/>
  <c r="V15" i="59"/>
  <c r="T15" i="59"/>
  <c r="AC13" i="59"/>
  <c r="Z12" i="59"/>
  <c r="X12" i="59"/>
  <c r="V12" i="59"/>
  <c r="T12" i="59"/>
  <c r="AA11" i="59"/>
  <c r="Z11" i="59"/>
  <c r="X11" i="59"/>
  <c r="V11" i="59"/>
  <c r="T11" i="59"/>
  <c r="AD11" i="59" s="1"/>
  <c r="AE11" i="59" s="1"/>
  <c r="P10" i="59"/>
  <c r="M10" i="59"/>
  <c r="N10" i="59" s="1"/>
  <c r="L10" i="59"/>
  <c r="J10" i="59"/>
  <c r="AA9" i="59"/>
  <c r="Z9" i="59"/>
  <c r="X9" i="59"/>
  <c r="V9" i="59"/>
  <c r="T9" i="59"/>
  <c r="P8" i="59"/>
  <c r="M8" i="59"/>
  <c r="N8" i="59" s="1"/>
  <c r="L8" i="59"/>
  <c r="L13" i="59" s="1"/>
  <c r="J8" i="59"/>
  <c r="P7" i="59"/>
  <c r="M7" i="59"/>
  <c r="N7" i="59" s="1"/>
  <c r="L7" i="59"/>
  <c r="J7" i="59"/>
  <c r="Z6" i="59"/>
  <c r="X6" i="59"/>
  <c r="V6" i="59"/>
  <c r="T6" i="59"/>
  <c r="AA123" i="60"/>
  <c r="Z123" i="60"/>
  <c r="X123" i="60"/>
  <c r="V123" i="60"/>
  <c r="T123" i="60"/>
  <c r="P122" i="60"/>
  <c r="M122" i="60"/>
  <c r="N122" i="60" s="1"/>
  <c r="L122" i="60"/>
  <c r="J122" i="60"/>
  <c r="P121" i="60"/>
  <c r="M121" i="60"/>
  <c r="N121" i="60" s="1"/>
  <c r="L121" i="60"/>
  <c r="R121" i="60" s="1"/>
  <c r="AE121" i="60" s="1"/>
  <c r="J121" i="60"/>
  <c r="AC120" i="60"/>
  <c r="Z120" i="60"/>
  <c r="X120" i="60"/>
  <c r="V120" i="60"/>
  <c r="T120" i="60"/>
  <c r="P119" i="60"/>
  <c r="M119" i="60"/>
  <c r="N119" i="60" s="1"/>
  <c r="L119" i="60"/>
  <c r="J119" i="60"/>
  <c r="P118" i="60"/>
  <c r="M118" i="60"/>
  <c r="N118" i="60" s="1"/>
  <c r="L118" i="60"/>
  <c r="J118" i="60"/>
  <c r="AC117" i="60"/>
  <c r="AD117" i="60" s="1"/>
  <c r="AE117" i="60" s="1"/>
  <c r="AA117" i="60"/>
  <c r="Z117" i="60"/>
  <c r="X117" i="60"/>
  <c r="V117" i="60"/>
  <c r="T117" i="60"/>
  <c r="P116" i="60"/>
  <c r="M116" i="60"/>
  <c r="N116" i="60" s="1"/>
  <c r="L116" i="60"/>
  <c r="J116" i="60"/>
  <c r="J124" i="60" s="1"/>
  <c r="P115" i="60"/>
  <c r="M115" i="60"/>
  <c r="N115" i="60" s="1"/>
  <c r="L115" i="60"/>
  <c r="J115" i="60"/>
  <c r="AA114" i="60"/>
  <c r="Z114" i="60"/>
  <c r="X114" i="60"/>
  <c r="V114" i="60"/>
  <c r="T114" i="60"/>
  <c r="P113" i="60"/>
  <c r="M113" i="60"/>
  <c r="N113" i="60" s="1"/>
  <c r="L113" i="60"/>
  <c r="J113" i="60"/>
  <c r="P112" i="60"/>
  <c r="P124" i="60" s="1"/>
  <c r="M112" i="60"/>
  <c r="N112" i="60" s="1"/>
  <c r="L112" i="60"/>
  <c r="J112" i="60"/>
  <c r="P111" i="60"/>
  <c r="M111" i="60"/>
  <c r="N111" i="60" s="1"/>
  <c r="R111" i="60" s="1"/>
  <c r="AE111" i="60" s="1"/>
  <c r="L111" i="60"/>
  <c r="J111" i="60"/>
  <c r="AC100" i="60"/>
  <c r="AC103" i="60"/>
  <c r="AC106" i="60"/>
  <c r="AB109" i="60"/>
  <c r="L99" i="60"/>
  <c r="L101" i="60"/>
  <c r="L102" i="60"/>
  <c r="L104" i="60"/>
  <c r="L105" i="60"/>
  <c r="L107" i="60"/>
  <c r="AA108" i="60"/>
  <c r="Z108" i="60"/>
  <c r="X108" i="60"/>
  <c r="V108" i="60"/>
  <c r="T108" i="60"/>
  <c r="P107" i="60"/>
  <c r="M107" i="60"/>
  <c r="N107" i="60" s="1"/>
  <c r="J107" i="60"/>
  <c r="AA106" i="60"/>
  <c r="Z106" i="60"/>
  <c r="X106" i="60"/>
  <c r="V106" i="60"/>
  <c r="T106" i="60"/>
  <c r="P105" i="60"/>
  <c r="M105" i="60"/>
  <c r="N105" i="60"/>
  <c r="J105" i="60"/>
  <c r="P104" i="60"/>
  <c r="M104" i="60"/>
  <c r="N104" i="60" s="1"/>
  <c r="J104" i="60"/>
  <c r="AA103" i="60"/>
  <c r="Z103" i="60"/>
  <c r="X103" i="60"/>
  <c r="V103" i="60"/>
  <c r="T103" i="60"/>
  <c r="P102" i="60"/>
  <c r="M102" i="60"/>
  <c r="N102" i="60" s="1"/>
  <c r="J102" i="60"/>
  <c r="R102" i="60" s="1"/>
  <c r="AE102" i="60" s="1"/>
  <c r="P101" i="60"/>
  <c r="M101" i="60"/>
  <c r="N101" i="60" s="1"/>
  <c r="J101" i="60"/>
  <c r="AA100" i="60"/>
  <c r="AA109" i="60" s="1"/>
  <c r="Z100" i="60"/>
  <c r="X100" i="60"/>
  <c r="V100" i="60"/>
  <c r="T100" i="60"/>
  <c r="P99" i="60"/>
  <c r="M99" i="60"/>
  <c r="N99" i="60" s="1"/>
  <c r="R99" i="60" s="1"/>
  <c r="AE99" i="60" s="1"/>
  <c r="J99" i="60"/>
  <c r="P98" i="60"/>
  <c r="M98" i="60"/>
  <c r="N98" i="60" s="1"/>
  <c r="L98" i="60"/>
  <c r="J98" i="60"/>
  <c r="AC95" i="60"/>
  <c r="AC96" i="60" s="1"/>
  <c r="AA95" i="60"/>
  <c r="Z95" i="60"/>
  <c r="X95" i="60"/>
  <c r="V95" i="60"/>
  <c r="T95" i="60"/>
  <c r="P94" i="60"/>
  <c r="M94" i="60"/>
  <c r="N94" i="60" s="1"/>
  <c r="K94" i="60"/>
  <c r="L94" i="60" s="1"/>
  <c r="J94" i="60"/>
  <c r="J96" i="60" s="1"/>
  <c r="AA93" i="60"/>
  <c r="Z93" i="60"/>
  <c r="Z96" i="60" s="1"/>
  <c r="X93" i="60"/>
  <c r="V93" i="60"/>
  <c r="T93" i="60"/>
  <c r="P92" i="60"/>
  <c r="M92" i="60"/>
  <c r="N92" i="60" s="1"/>
  <c r="K92" i="60"/>
  <c r="L92" i="60" s="1"/>
  <c r="J92" i="60"/>
  <c r="AA91" i="60"/>
  <c r="Z91" i="60"/>
  <c r="X91" i="60"/>
  <c r="V91" i="60"/>
  <c r="T91" i="60"/>
  <c r="P90" i="60"/>
  <c r="M90" i="60"/>
  <c r="N90" i="60" s="1"/>
  <c r="K90" i="60"/>
  <c r="L90" i="60" s="1"/>
  <c r="P89" i="60"/>
  <c r="M89" i="60"/>
  <c r="N89" i="60" s="1"/>
  <c r="K89" i="60"/>
  <c r="L89" i="60" s="1"/>
  <c r="Z88" i="60"/>
  <c r="X88" i="60"/>
  <c r="X96" i="60" s="1"/>
  <c r="V88" i="60"/>
  <c r="T88" i="60"/>
  <c r="Z85" i="60"/>
  <c r="X85" i="60"/>
  <c r="V85" i="60"/>
  <c r="T85" i="60"/>
  <c r="Z84" i="60"/>
  <c r="X84" i="60"/>
  <c r="V84" i="60"/>
  <c r="T84" i="60"/>
  <c r="P83" i="60"/>
  <c r="M83" i="60"/>
  <c r="N83" i="60" s="1"/>
  <c r="K83" i="60"/>
  <c r="L83" i="60" s="1"/>
  <c r="J83" i="60"/>
  <c r="AC82" i="60"/>
  <c r="AA82" i="60"/>
  <c r="AD82" i="60" s="1"/>
  <c r="AE82" i="60" s="1"/>
  <c r="Z82" i="60"/>
  <c r="X82" i="60"/>
  <c r="V82" i="60"/>
  <c r="T82" i="60"/>
  <c r="Z81" i="60"/>
  <c r="X81" i="60"/>
  <c r="V81" i="60"/>
  <c r="T81" i="60"/>
  <c r="AD81" i="60" s="1"/>
  <c r="AE81" i="60" s="1"/>
  <c r="AC80" i="60"/>
  <c r="AC86" i="60" s="1"/>
  <c r="AA80" i="60"/>
  <c r="Z80" i="60"/>
  <c r="X80" i="60"/>
  <c r="V80" i="60"/>
  <c r="T80" i="60"/>
  <c r="P79" i="60"/>
  <c r="M79" i="60"/>
  <c r="N79" i="60" s="1"/>
  <c r="K79" i="60"/>
  <c r="L79" i="60" s="1"/>
  <c r="J79" i="60"/>
  <c r="Z78" i="60"/>
  <c r="X78" i="60"/>
  <c r="V78" i="60"/>
  <c r="T78" i="60"/>
  <c r="P77" i="60"/>
  <c r="P86" i="60" s="1"/>
  <c r="M77" i="60"/>
  <c r="N77" i="60" s="1"/>
  <c r="K77" i="60"/>
  <c r="L77" i="60" s="1"/>
  <c r="J77" i="60"/>
  <c r="AC75" i="60"/>
  <c r="AB75" i="60"/>
  <c r="AA74" i="60"/>
  <c r="Z74" i="60"/>
  <c r="X74" i="60"/>
  <c r="V74" i="60"/>
  <c r="AD74" i="60" s="1"/>
  <c r="T74" i="60"/>
  <c r="P73" i="60"/>
  <c r="P75" i="60" s="1"/>
  <c r="M73" i="60"/>
  <c r="N73" i="60" s="1"/>
  <c r="K73" i="60"/>
  <c r="L73" i="60" s="1"/>
  <c r="J73" i="60"/>
  <c r="AA72" i="60"/>
  <c r="Z72" i="60"/>
  <c r="X72" i="60"/>
  <c r="V72" i="60"/>
  <c r="T72" i="60"/>
  <c r="P71" i="60"/>
  <c r="M71" i="60"/>
  <c r="N71" i="60" s="1"/>
  <c r="K71" i="60"/>
  <c r="L71" i="60" s="1"/>
  <c r="J71" i="60"/>
  <c r="J75" i="60" s="1"/>
  <c r="Z70" i="60"/>
  <c r="X70" i="60"/>
  <c r="X75" i="60" s="1"/>
  <c r="V70" i="60"/>
  <c r="T70" i="60"/>
  <c r="AC68" i="60"/>
  <c r="AB68" i="60"/>
  <c r="AA67" i="60"/>
  <c r="Z67" i="60"/>
  <c r="X67" i="60"/>
  <c r="V67" i="60"/>
  <c r="T67" i="60"/>
  <c r="T68" i="60" s="1"/>
  <c r="P66" i="60"/>
  <c r="M66" i="60"/>
  <c r="N66" i="60" s="1"/>
  <c r="K66" i="60"/>
  <c r="L66" i="60" s="1"/>
  <c r="J66" i="60"/>
  <c r="AA65" i="60"/>
  <c r="Z65" i="60"/>
  <c r="X65" i="60"/>
  <c r="V65" i="60"/>
  <c r="T65" i="60"/>
  <c r="P64" i="60"/>
  <c r="M64" i="60"/>
  <c r="N64" i="60" s="1"/>
  <c r="K64" i="60"/>
  <c r="L64" i="60" s="1"/>
  <c r="J64" i="60"/>
  <c r="Z63" i="60"/>
  <c r="X63" i="60"/>
  <c r="AD63" i="60" s="1"/>
  <c r="AE63" i="60" s="1"/>
  <c r="V63" i="60"/>
  <c r="T63" i="60"/>
  <c r="Z62" i="60"/>
  <c r="X62" i="60"/>
  <c r="V62" i="60"/>
  <c r="T62" i="60"/>
  <c r="AC60" i="60"/>
  <c r="AA59" i="60"/>
  <c r="AA60" i="60" s="1"/>
  <c r="Z59" i="60"/>
  <c r="Z60" i="60" s="1"/>
  <c r="X59" i="60"/>
  <c r="V59" i="60"/>
  <c r="T59" i="60"/>
  <c r="AA58" i="60"/>
  <c r="Z58" i="60"/>
  <c r="X58" i="60"/>
  <c r="V58" i="60"/>
  <c r="T58" i="60"/>
  <c r="Z57" i="60"/>
  <c r="X57" i="60"/>
  <c r="V57" i="60"/>
  <c r="T57" i="60"/>
  <c r="AC55" i="60"/>
  <c r="AA54" i="60"/>
  <c r="Z54" i="60"/>
  <c r="X54" i="60"/>
  <c r="V54" i="60"/>
  <c r="T54" i="60"/>
  <c r="P53" i="60"/>
  <c r="M53" i="60"/>
  <c r="N53" i="60" s="1"/>
  <c r="L53" i="60"/>
  <c r="J53" i="60"/>
  <c r="P52" i="60"/>
  <c r="P55" i="60" s="1"/>
  <c r="M52" i="60"/>
  <c r="N52" i="60" s="1"/>
  <c r="L52" i="60"/>
  <c r="L55" i="60" s="1"/>
  <c r="J52" i="60"/>
  <c r="AA51" i="60"/>
  <c r="Z51" i="60"/>
  <c r="X51" i="60"/>
  <c r="V51" i="60"/>
  <c r="T51" i="60"/>
  <c r="AA50" i="60"/>
  <c r="Z50" i="60"/>
  <c r="X50" i="60"/>
  <c r="X55" i="60" s="1"/>
  <c r="V50" i="60"/>
  <c r="T50" i="60"/>
  <c r="V49" i="60"/>
  <c r="T49" i="60"/>
  <c r="AD49" i="60" s="1"/>
  <c r="AE49" i="60" s="1"/>
  <c r="Z48" i="60"/>
  <c r="X48" i="60"/>
  <c r="V48" i="60"/>
  <c r="T48" i="60"/>
  <c r="Q46" i="60"/>
  <c r="Q125" i="60" s="1"/>
  <c r="AA45" i="60"/>
  <c r="Z45" i="60"/>
  <c r="X45" i="60"/>
  <c r="AD45" i="60" s="1"/>
  <c r="AE45" i="60" s="1"/>
  <c r="V45" i="60"/>
  <c r="T45" i="60"/>
  <c r="P44" i="60"/>
  <c r="M44" i="60"/>
  <c r="N44" i="60" s="1"/>
  <c r="R44" i="60" s="1"/>
  <c r="AE44" i="60" s="1"/>
  <c r="L44" i="60"/>
  <c r="J44" i="60"/>
  <c r="AA43" i="60"/>
  <c r="Z43" i="60"/>
  <c r="X43" i="60"/>
  <c r="V43" i="60"/>
  <c r="T43" i="60"/>
  <c r="P42" i="60"/>
  <c r="M42" i="60"/>
  <c r="N42" i="60" s="1"/>
  <c r="L42" i="60"/>
  <c r="J42" i="60"/>
  <c r="P41" i="60"/>
  <c r="P46" i="60" s="1"/>
  <c r="M41" i="60"/>
  <c r="N41" i="60" s="1"/>
  <c r="L41" i="60"/>
  <c r="J41" i="60"/>
  <c r="AC40" i="60"/>
  <c r="AC46" i="60" s="1"/>
  <c r="AA40" i="60"/>
  <c r="AA46" i="60" s="1"/>
  <c r="Z40" i="60"/>
  <c r="X40" i="60"/>
  <c r="V40" i="60"/>
  <c r="T40" i="60"/>
  <c r="T46" i="60" s="1"/>
  <c r="M39" i="60"/>
  <c r="N39" i="60" s="1"/>
  <c r="L39" i="60"/>
  <c r="J39" i="60"/>
  <c r="J46" i="60" s="1"/>
  <c r="M38" i="60"/>
  <c r="N38" i="60" s="1"/>
  <c r="L38" i="60"/>
  <c r="J38" i="60"/>
  <c r="AC36" i="60"/>
  <c r="AA35" i="60"/>
  <c r="Z35" i="60"/>
  <c r="X35" i="60"/>
  <c r="V35" i="60"/>
  <c r="T35" i="60"/>
  <c r="AA34" i="60"/>
  <c r="Z34" i="60"/>
  <c r="X34" i="60"/>
  <c r="AD34" i="60" s="1"/>
  <c r="AE34" i="60" s="1"/>
  <c r="V34" i="60"/>
  <c r="T34" i="60"/>
  <c r="P33" i="60"/>
  <c r="M33" i="60"/>
  <c r="N33" i="60" s="1"/>
  <c r="L33" i="60"/>
  <c r="R33" i="60" s="1"/>
  <c r="AE33" i="60" s="1"/>
  <c r="J33" i="60"/>
  <c r="Z32" i="60"/>
  <c r="X32" i="60"/>
  <c r="V32" i="60"/>
  <c r="T32" i="60"/>
  <c r="P31" i="60"/>
  <c r="M31" i="60"/>
  <c r="N31" i="60" s="1"/>
  <c r="L31" i="60"/>
  <c r="J31" i="60"/>
  <c r="AA30" i="60"/>
  <c r="Z30" i="60"/>
  <c r="X30" i="60"/>
  <c r="V30" i="60"/>
  <c r="T30" i="60"/>
  <c r="P29" i="60"/>
  <c r="M29" i="60"/>
  <c r="N29" i="60" s="1"/>
  <c r="L29" i="60"/>
  <c r="J29" i="60"/>
  <c r="AA28" i="60"/>
  <c r="AA36" i="60" s="1"/>
  <c r="Z28" i="60"/>
  <c r="X28" i="60"/>
  <c r="V28" i="60"/>
  <c r="T28" i="60"/>
  <c r="P27" i="60"/>
  <c r="M27" i="60"/>
  <c r="N27" i="60" s="1"/>
  <c r="L27" i="60"/>
  <c r="J27" i="60"/>
  <c r="R27" i="60" s="1"/>
  <c r="AE27" i="60" s="1"/>
  <c r="Z26" i="60"/>
  <c r="X26" i="60"/>
  <c r="V26" i="60"/>
  <c r="T26" i="60"/>
  <c r="AD26" i="60" s="1"/>
  <c r="AE26" i="60" s="1"/>
  <c r="P25" i="60"/>
  <c r="M25" i="60"/>
  <c r="N25" i="60" s="1"/>
  <c r="L25" i="60"/>
  <c r="J25" i="60"/>
  <c r="P24" i="60"/>
  <c r="M24" i="60"/>
  <c r="N24" i="60" s="1"/>
  <c r="L24" i="60"/>
  <c r="J24" i="60"/>
  <c r="AC22" i="60"/>
  <c r="AA21" i="60"/>
  <c r="Z21" i="60"/>
  <c r="X21" i="60"/>
  <c r="V21" i="60"/>
  <c r="T21" i="60"/>
  <c r="P20" i="60"/>
  <c r="M20" i="60"/>
  <c r="N20" i="60" s="1"/>
  <c r="K20" i="60"/>
  <c r="L20" i="60" s="1"/>
  <c r="J20" i="60"/>
  <c r="AA19" i="60"/>
  <c r="Z19" i="60"/>
  <c r="X19" i="60"/>
  <c r="V19" i="60"/>
  <c r="T19" i="60"/>
  <c r="P18" i="60"/>
  <c r="M18" i="60"/>
  <c r="N18" i="60" s="1"/>
  <c r="K18" i="60"/>
  <c r="L18" i="60" s="1"/>
  <c r="J18" i="60"/>
  <c r="J22" i="60" s="1"/>
  <c r="AA17" i="60"/>
  <c r="Z17" i="60"/>
  <c r="X17" i="60"/>
  <c r="V17" i="60"/>
  <c r="T17" i="60"/>
  <c r="T22" i="60" s="1"/>
  <c r="AA16" i="60"/>
  <c r="Z16" i="60"/>
  <c r="X16" i="60"/>
  <c r="AD16" i="60" s="1"/>
  <c r="AE16" i="60" s="1"/>
  <c r="V16" i="60"/>
  <c r="T16" i="60"/>
  <c r="AF15" i="60"/>
  <c r="Z15" i="60"/>
  <c r="X15" i="60"/>
  <c r="V15" i="60"/>
  <c r="T15" i="60"/>
  <c r="AC13" i="60"/>
  <c r="Z12" i="60"/>
  <c r="X12" i="60"/>
  <c r="V12" i="60"/>
  <c r="T12" i="60"/>
  <c r="T13" i="60" s="1"/>
  <c r="AA11" i="60"/>
  <c r="Z11" i="60"/>
  <c r="X11" i="60"/>
  <c r="V11" i="60"/>
  <c r="T11" i="60"/>
  <c r="P10" i="60"/>
  <c r="M10" i="60"/>
  <c r="N10" i="60" s="1"/>
  <c r="L10" i="60"/>
  <c r="J10" i="60"/>
  <c r="AA9" i="60"/>
  <c r="Z9" i="60"/>
  <c r="X9" i="60"/>
  <c r="V9" i="60"/>
  <c r="T9" i="60"/>
  <c r="P8" i="60"/>
  <c r="M8" i="60"/>
  <c r="N8" i="60" s="1"/>
  <c r="L8" i="60"/>
  <c r="J8" i="60"/>
  <c r="P7" i="60"/>
  <c r="M7" i="60"/>
  <c r="N7" i="60" s="1"/>
  <c r="L7" i="60"/>
  <c r="J7" i="60"/>
  <c r="Z6" i="60"/>
  <c r="Z13" i="60" s="1"/>
  <c r="X6" i="60"/>
  <c r="X13" i="60" s="1"/>
  <c r="V6" i="60"/>
  <c r="T6" i="60"/>
  <c r="AD48" i="60"/>
  <c r="AE48" i="60" s="1"/>
  <c r="AD58" i="60"/>
  <c r="AE58" i="60" s="1"/>
  <c r="Z75" i="60"/>
  <c r="N68" i="59"/>
  <c r="V96" i="60"/>
  <c r="AD108" i="60"/>
  <c r="AE108" i="60" s="1"/>
  <c r="T124" i="60"/>
  <c r="X124" i="60"/>
  <c r="AA124" i="60"/>
  <c r="AD12" i="59"/>
  <c r="AE12" i="59" s="1"/>
  <c r="AD17" i="59"/>
  <c r="AE17" i="59" s="1"/>
  <c r="AD30" i="59"/>
  <c r="AE30" i="59" s="1"/>
  <c r="T46" i="59"/>
  <c r="X46" i="59"/>
  <c r="AA46" i="59"/>
  <c r="AD43" i="59"/>
  <c r="AE43" i="59" s="1"/>
  <c r="X55" i="59"/>
  <c r="AD50" i="59"/>
  <c r="AE50" i="59" s="1"/>
  <c r="AB125" i="59"/>
  <c r="T75" i="59"/>
  <c r="AA75" i="59"/>
  <c r="AD81" i="59"/>
  <c r="AE81" i="59" s="1"/>
  <c r="R92" i="59"/>
  <c r="AE92" i="59" s="1"/>
  <c r="P109" i="59"/>
  <c r="R107" i="59"/>
  <c r="AE107" i="59" s="1"/>
  <c r="AD120" i="59"/>
  <c r="AE120" i="59" s="1"/>
  <c r="V124" i="59"/>
  <c r="Z124" i="59"/>
  <c r="X124" i="59"/>
  <c r="AD117" i="59"/>
  <c r="AE117" i="59" s="1"/>
  <c r="L109" i="59"/>
  <c r="X109" i="59"/>
  <c r="Z96" i="59"/>
  <c r="AD72" i="59"/>
  <c r="AE72" i="59" s="1"/>
  <c r="AD65" i="59"/>
  <c r="AE65" i="59" s="1"/>
  <c r="AA68" i="59"/>
  <c r="Z68" i="59"/>
  <c r="V60" i="59"/>
  <c r="Z60" i="59"/>
  <c r="T55" i="59"/>
  <c r="V46" i="59"/>
  <c r="Z46" i="59"/>
  <c r="R42" i="59"/>
  <c r="AE42" i="59" s="1"/>
  <c r="R33" i="59"/>
  <c r="AE33" i="59" s="1"/>
  <c r="AD35" i="59"/>
  <c r="AE35" i="59" s="1"/>
  <c r="R24" i="59"/>
  <c r="AE24" i="59" s="1"/>
  <c r="V22" i="59"/>
  <c r="AD19" i="59"/>
  <c r="AE19" i="59" s="1"/>
  <c r="X13" i="59"/>
  <c r="AD67" i="59"/>
  <c r="AE67" i="59" s="1"/>
  <c r="J13" i="59"/>
  <c r="N22" i="59"/>
  <c r="T36" i="59"/>
  <c r="AA36" i="59"/>
  <c r="AD32" i="59"/>
  <c r="AE32" i="59" s="1"/>
  <c r="AD40" i="59"/>
  <c r="J55" i="59"/>
  <c r="T68" i="59"/>
  <c r="AD62" i="59"/>
  <c r="AD74" i="59"/>
  <c r="AE74" i="59" s="1"/>
  <c r="J109" i="59"/>
  <c r="T109" i="59"/>
  <c r="V86" i="59"/>
  <c r="AD84" i="59"/>
  <c r="AE84" i="59" s="1"/>
  <c r="V124" i="60"/>
  <c r="R105" i="60"/>
  <c r="AE105" i="60" s="1"/>
  <c r="V109" i="60"/>
  <c r="Z109" i="60"/>
  <c r="X109" i="60"/>
  <c r="R92" i="60"/>
  <c r="AE92" i="60" s="1"/>
  <c r="AD85" i="60"/>
  <c r="AE85" i="60" s="1"/>
  <c r="V75" i="60"/>
  <c r="AD72" i="60"/>
  <c r="AE72" i="60" s="1"/>
  <c r="J68" i="60"/>
  <c r="AD65" i="60"/>
  <c r="AE65" i="60" s="1"/>
  <c r="AA68" i="60"/>
  <c r="V68" i="60"/>
  <c r="Z68" i="60"/>
  <c r="V60" i="60"/>
  <c r="AD51" i="60"/>
  <c r="AE51" i="60" s="1"/>
  <c r="AA55" i="60"/>
  <c r="V46" i="60"/>
  <c r="Z46" i="60"/>
  <c r="V36" i="60"/>
  <c r="AA22" i="60"/>
  <c r="AD6" i="60"/>
  <c r="AE6" i="60" s="1"/>
  <c r="R89" i="60"/>
  <c r="AE89" i="60" s="1"/>
  <c r="J13" i="60"/>
  <c r="P36" i="60"/>
  <c r="AD40" i="60"/>
  <c r="AD62" i="60"/>
  <c r="T109" i="60"/>
  <c r="V86" i="60"/>
  <c r="Z86" i="60"/>
  <c r="AD84" i="60"/>
  <c r="AE84" i="60" s="1"/>
  <c r="AD103" i="60"/>
  <c r="AE103" i="60" s="1"/>
  <c r="AD106" i="60"/>
  <c r="AE106" i="60" s="1"/>
  <c r="AD114" i="60"/>
  <c r="AE114" i="60" s="1"/>
  <c r="AE62" i="59"/>
  <c r="AE40" i="59"/>
  <c r="AE62" i="60"/>
  <c r="F14" i="7"/>
  <c r="F13" i="7"/>
  <c r="F12" i="7"/>
  <c r="F11" i="7"/>
  <c r="F10" i="7"/>
  <c r="F9" i="7"/>
  <c r="F8" i="7"/>
  <c r="F4" i="7"/>
  <c r="F5" i="7" s="1"/>
  <c r="D8" i="41"/>
  <c r="D7" i="41"/>
  <c r="B7" i="21"/>
  <c r="G7" i="21" s="1"/>
  <c r="G8" i="21" s="1"/>
  <c r="N9" i="15"/>
  <c r="M9" i="15"/>
  <c r="M10" i="15" s="1"/>
  <c r="N8" i="15"/>
  <c r="N10" i="15" s="1"/>
  <c r="AG124" i="14"/>
  <c r="AC122" i="14"/>
  <c r="AB122" i="14"/>
  <c r="AA122" i="14"/>
  <c r="Z122" i="14"/>
  <c r="X122" i="14"/>
  <c r="V122" i="14"/>
  <c r="AD122" i="14" s="1"/>
  <c r="T122" i="14"/>
  <c r="Q122" i="14"/>
  <c r="P121" i="14"/>
  <c r="N121" i="14"/>
  <c r="L121" i="14"/>
  <c r="J121" i="14"/>
  <c r="P120" i="14"/>
  <c r="N120" i="14"/>
  <c r="L120" i="14"/>
  <c r="J120" i="14"/>
  <c r="AC118" i="14"/>
  <c r="AB118" i="14"/>
  <c r="AA118" i="14"/>
  <c r="Q118" i="14"/>
  <c r="P117" i="14"/>
  <c r="N117" i="14"/>
  <c r="L117" i="14"/>
  <c r="J117" i="14"/>
  <c r="Z116" i="14"/>
  <c r="Z118" i="14" s="1"/>
  <c r="X116" i="14"/>
  <c r="X118" i="14" s="1"/>
  <c r="V116" i="14"/>
  <c r="V118" i="14" s="1"/>
  <c r="S116" i="14"/>
  <c r="T116" i="14" s="1"/>
  <c r="R116" i="14"/>
  <c r="P115" i="14"/>
  <c r="N115" i="14"/>
  <c r="L115" i="14"/>
  <c r="J115" i="14"/>
  <c r="J118" i="14" s="1"/>
  <c r="AB113" i="14"/>
  <c r="Q113" i="14"/>
  <c r="AA112" i="14"/>
  <c r="Z112" i="14"/>
  <c r="X112" i="14"/>
  <c r="V112" i="14"/>
  <c r="S112" i="14"/>
  <c r="T112" i="14" s="1"/>
  <c r="AD111" i="14"/>
  <c r="P111" i="14"/>
  <c r="N111" i="14"/>
  <c r="L111" i="14"/>
  <c r="J111" i="14"/>
  <c r="AA110" i="14"/>
  <c r="Z110" i="14"/>
  <c r="X110" i="14"/>
  <c r="V110" i="14"/>
  <c r="S110" i="14"/>
  <c r="T110" i="14" s="1"/>
  <c r="AD109" i="14"/>
  <c r="AE109" i="14" s="1"/>
  <c r="AA108" i="14"/>
  <c r="Z108" i="14"/>
  <c r="X108" i="14"/>
  <c r="X113" i="14" s="1"/>
  <c r="V108" i="14"/>
  <c r="S108" i="14"/>
  <c r="T108" i="14" s="1"/>
  <c r="AD107" i="14"/>
  <c r="P107" i="14"/>
  <c r="N107" i="14"/>
  <c r="L107" i="14"/>
  <c r="J107" i="14"/>
  <c r="Z106" i="14"/>
  <c r="X106" i="14"/>
  <c r="V106" i="14"/>
  <c r="S106" i="14"/>
  <c r="T106" i="14" s="1"/>
  <c r="P105" i="14"/>
  <c r="P113" i="14" s="1"/>
  <c r="N105" i="14"/>
  <c r="L105" i="14"/>
  <c r="J105" i="14"/>
  <c r="J113" i="14" s="1"/>
  <c r="P104" i="14"/>
  <c r="N104" i="14"/>
  <c r="N113" i="14" s="1"/>
  <c r="L104" i="14"/>
  <c r="J104" i="14"/>
  <c r="AC103" i="14"/>
  <c r="AC113" i="14" s="1"/>
  <c r="V103" i="14"/>
  <c r="T103" i="14"/>
  <c r="X102" i="14"/>
  <c r="V102" i="14"/>
  <c r="V113" i="14" s="1"/>
  <c r="T102" i="14"/>
  <c r="AB100" i="14"/>
  <c r="AA100" i="14"/>
  <c r="Q100" i="14"/>
  <c r="AC99" i="14"/>
  <c r="AC100" i="14" s="1"/>
  <c r="Z99" i="14"/>
  <c r="X99" i="14"/>
  <c r="V99" i="14"/>
  <c r="T99" i="14"/>
  <c r="P98" i="14"/>
  <c r="N98" i="14"/>
  <c r="L98" i="14"/>
  <c r="R98" i="14" s="1"/>
  <c r="AE98" i="14" s="1"/>
  <c r="J98" i="14"/>
  <c r="P97" i="14"/>
  <c r="N97" i="14"/>
  <c r="L97" i="14"/>
  <c r="J97" i="14"/>
  <c r="J100" i="14" s="1"/>
  <c r="X96" i="14"/>
  <c r="V96" i="14"/>
  <c r="T96" i="14"/>
  <c r="Z95" i="14"/>
  <c r="X95" i="14"/>
  <c r="V95" i="14"/>
  <c r="T95" i="14"/>
  <c r="T100" i="14" s="1"/>
  <c r="AC93" i="14"/>
  <c r="AB93" i="14"/>
  <c r="AA93" i="14"/>
  <c r="X93" i="14"/>
  <c r="Q93" i="14"/>
  <c r="P92" i="14"/>
  <c r="N92" i="14"/>
  <c r="L92" i="14"/>
  <c r="J92" i="14"/>
  <c r="P91" i="14"/>
  <c r="N91" i="14"/>
  <c r="L91" i="14"/>
  <c r="R91" i="14" s="1"/>
  <c r="AE91" i="14" s="1"/>
  <c r="J91" i="14"/>
  <c r="Z90" i="14"/>
  <c r="Z93" i="14" s="1"/>
  <c r="V90" i="14"/>
  <c r="V93" i="14" s="1"/>
  <c r="T90" i="14"/>
  <c r="T93" i="14" s="1"/>
  <c r="R90" i="14"/>
  <c r="P89" i="14"/>
  <c r="N89" i="14"/>
  <c r="L89" i="14"/>
  <c r="J89" i="14"/>
  <c r="P88" i="14"/>
  <c r="N88" i="14"/>
  <c r="L88" i="14"/>
  <c r="L93" i="14" s="1"/>
  <c r="J88" i="14"/>
  <c r="AC86" i="14"/>
  <c r="AB86" i="14"/>
  <c r="Q86" i="14"/>
  <c r="AA85" i="14"/>
  <c r="AA86" i="14" s="1"/>
  <c r="Z85" i="14"/>
  <c r="X85" i="14"/>
  <c r="V85" i="14"/>
  <c r="T85" i="14"/>
  <c r="P84" i="14"/>
  <c r="N84" i="14"/>
  <c r="L84" i="14"/>
  <c r="R84" i="14" s="1"/>
  <c r="AE84" i="14" s="1"/>
  <c r="J84" i="14"/>
  <c r="Z83" i="14"/>
  <c r="X83" i="14"/>
  <c r="X86" i="14" s="1"/>
  <c r="V83" i="14"/>
  <c r="T83" i="14"/>
  <c r="P82" i="14"/>
  <c r="N82" i="14"/>
  <c r="L82" i="14"/>
  <c r="J82" i="14"/>
  <c r="Z81" i="14"/>
  <c r="V81" i="14"/>
  <c r="T81" i="14"/>
  <c r="R81" i="14"/>
  <c r="P80" i="14"/>
  <c r="N80" i="14"/>
  <c r="L80" i="14"/>
  <c r="J80" i="14"/>
  <c r="AC78" i="14"/>
  <c r="AB78" i="14"/>
  <c r="Q78" i="14"/>
  <c r="AA77" i="14"/>
  <c r="AA78" i="14" s="1"/>
  <c r="Z77" i="14"/>
  <c r="X77" i="14"/>
  <c r="V77" i="14"/>
  <c r="AD77" i="14" s="1"/>
  <c r="AE77" i="14" s="1"/>
  <c r="T77" i="14"/>
  <c r="P76" i="14"/>
  <c r="N76" i="14"/>
  <c r="L76" i="14"/>
  <c r="J76" i="14"/>
  <c r="P75" i="14"/>
  <c r="N75" i="14"/>
  <c r="L75" i="14"/>
  <c r="J75" i="14"/>
  <c r="P74" i="14"/>
  <c r="N74" i="14"/>
  <c r="L74" i="14"/>
  <c r="R74" i="14" s="1"/>
  <c r="AE74" i="14" s="1"/>
  <c r="J74" i="14"/>
  <c r="Z73" i="14"/>
  <c r="X73" i="14"/>
  <c r="V73" i="14"/>
  <c r="T73" i="14"/>
  <c r="Z72" i="14"/>
  <c r="X72" i="14"/>
  <c r="U72" i="14"/>
  <c r="V72" i="14" s="1"/>
  <c r="S72" i="14"/>
  <c r="T72" i="14" s="1"/>
  <c r="R72" i="14"/>
  <c r="N71" i="14"/>
  <c r="L71" i="14"/>
  <c r="R71" i="14" s="1"/>
  <c r="AE71" i="14" s="1"/>
  <c r="J71" i="14"/>
  <c r="P70" i="14"/>
  <c r="N70" i="14"/>
  <c r="L70" i="14"/>
  <c r="J70" i="14"/>
  <c r="Z69" i="14"/>
  <c r="X69" i="14"/>
  <c r="U69" i="14"/>
  <c r="V69" i="14" s="1"/>
  <c r="S69" i="14"/>
  <c r="T69" i="14" s="1"/>
  <c r="R69" i="14"/>
  <c r="N68" i="14"/>
  <c r="L68" i="14"/>
  <c r="R68" i="14" s="1"/>
  <c r="AE68" i="14" s="1"/>
  <c r="J68" i="14"/>
  <c r="AC66" i="14"/>
  <c r="AB66" i="14"/>
  <c r="AA66" i="14"/>
  <c r="Q66" i="14"/>
  <c r="P65" i="14"/>
  <c r="N65" i="14"/>
  <c r="L65" i="14"/>
  <c r="J65" i="14"/>
  <c r="P64" i="14"/>
  <c r="N64" i="14"/>
  <c r="L64" i="14"/>
  <c r="R64" i="14" s="1"/>
  <c r="AE64" i="14" s="1"/>
  <c r="J64" i="14"/>
  <c r="P63" i="14"/>
  <c r="N63" i="14"/>
  <c r="L63" i="14"/>
  <c r="J63" i="14"/>
  <c r="Z62" i="14"/>
  <c r="X62" i="14"/>
  <c r="V62" i="14"/>
  <c r="T62" i="14"/>
  <c r="R62" i="14"/>
  <c r="P61" i="14"/>
  <c r="N61" i="14"/>
  <c r="R61" i="14" s="1"/>
  <c r="AE61" i="14" s="1"/>
  <c r="L61" i="14"/>
  <c r="J61" i="14"/>
  <c r="P60" i="14"/>
  <c r="N60" i="14"/>
  <c r="L60" i="14"/>
  <c r="J60" i="14"/>
  <c r="Z59" i="14"/>
  <c r="X59" i="14"/>
  <c r="V59" i="14"/>
  <c r="T59" i="14"/>
  <c r="R59" i="14"/>
  <c r="P58" i="14"/>
  <c r="N58" i="14"/>
  <c r="L58" i="14"/>
  <c r="J58" i="14"/>
  <c r="P57" i="14"/>
  <c r="N57" i="14"/>
  <c r="L57" i="14"/>
  <c r="J57" i="14"/>
  <c r="AC55" i="14"/>
  <c r="AB55" i="14"/>
  <c r="Q55" i="14"/>
  <c r="AA54" i="14"/>
  <c r="Z54" i="14"/>
  <c r="X54" i="14"/>
  <c r="V54" i="14"/>
  <c r="T54" i="14"/>
  <c r="AA53" i="14"/>
  <c r="Z53" i="14"/>
  <c r="X53" i="14"/>
  <c r="V53" i="14"/>
  <c r="T53" i="14"/>
  <c r="Z52" i="14"/>
  <c r="X52" i="14"/>
  <c r="V52" i="14"/>
  <c r="S52" i="14"/>
  <c r="T52" i="14" s="1"/>
  <c r="AD52" i="14" s="1"/>
  <c r="AE52" i="14" s="1"/>
  <c r="P51" i="14"/>
  <c r="N51" i="14"/>
  <c r="L51" i="14"/>
  <c r="J51" i="14"/>
  <c r="P50" i="14"/>
  <c r="N50" i="14"/>
  <c r="L50" i="14"/>
  <c r="J50" i="14"/>
  <c r="Z49" i="14"/>
  <c r="X49" i="14"/>
  <c r="V49" i="14"/>
  <c r="T49" i="14"/>
  <c r="AD49" i="14" s="1"/>
  <c r="AE49" i="14" s="1"/>
  <c r="R49" i="14"/>
  <c r="P48" i="14"/>
  <c r="N48" i="14"/>
  <c r="L48" i="14"/>
  <c r="J48" i="14"/>
  <c r="P47" i="14"/>
  <c r="N47" i="14"/>
  <c r="L47" i="14"/>
  <c r="J47" i="14"/>
  <c r="AB45" i="14"/>
  <c r="Q45" i="14"/>
  <c r="AC44" i="14"/>
  <c r="AC45" i="14" s="1"/>
  <c r="AA44" i="14"/>
  <c r="Z44" i="14"/>
  <c r="X44" i="14"/>
  <c r="V44" i="14"/>
  <c r="T44" i="14"/>
  <c r="P43" i="14"/>
  <c r="N43" i="14"/>
  <c r="L43" i="14"/>
  <c r="J43" i="14"/>
  <c r="P42" i="14"/>
  <c r="N42" i="14"/>
  <c r="L42" i="14"/>
  <c r="R42" i="14" s="1"/>
  <c r="AE42" i="14" s="1"/>
  <c r="J42" i="14"/>
  <c r="AD41" i="14"/>
  <c r="P41" i="14"/>
  <c r="R41" i="14" s="1"/>
  <c r="N41" i="14"/>
  <c r="L41" i="14"/>
  <c r="J41" i="14"/>
  <c r="Z40" i="14"/>
  <c r="X40" i="14"/>
  <c r="V40" i="14"/>
  <c r="T40" i="14"/>
  <c r="P39" i="14"/>
  <c r="N39" i="14"/>
  <c r="N45" i="14" s="1"/>
  <c r="L39" i="14"/>
  <c r="J39" i="14"/>
  <c r="P38" i="14"/>
  <c r="N38" i="14"/>
  <c r="L38" i="14"/>
  <c r="J38" i="14"/>
  <c r="AA37" i="14"/>
  <c r="Z37" i="14"/>
  <c r="X37" i="14"/>
  <c r="V37" i="14"/>
  <c r="S37" i="14"/>
  <c r="T37" i="14" s="1"/>
  <c r="P36" i="14"/>
  <c r="R36" i="14" s="1"/>
  <c r="AE36" i="14" s="1"/>
  <c r="N36" i="14"/>
  <c r="L36" i="14"/>
  <c r="J36" i="14"/>
  <c r="AB34" i="14"/>
  <c r="Q34" i="14"/>
  <c r="AC33" i="14"/>
  <c r="AA33" i="14"/>
  <c r="Z33" i="14"/>
  <c r="X33" i="14"/>
  <c r="T33" i="14"/>
  <c r="AC32" i="14"/>
  <c r="AA32" i="14"/>
  <c r="AA34" i="14" s="1"/>
  <c r="Z32" i="14"/>
  <c r="X32" i="14"/>
  <c r="U32" i="14"/>
  <c r="V32" i="14" s="1"/>
  <c r="S32" i="14"/>
  <c r="T32" i="14" s="1"/>
  <c r="Z31" i="14"/>
  <c r="X31" i="14"/>
  <c r="U31" i="14"/>
  <c r="V31" i="14" s="1"/>
  <c r="S31" i="14"/>
  <c r="T31" i="14" s="1"/>
  <c r="X30" i="14"/>
  <c r="U30" i="14"/>
  <c r="V30" i="14" s="1"/>
  <c r="S30" i="14"/>
  <c r="T30" i="14" s="1"/>
  <c r="P29" i="14"/>
  <c r="P34" i="14" s="1"/>
  <c r="N29" i="14"/>
  <c r="N34" i="14" s="1"/>
  <c r="L29" i="14"/>
  <c r="L34" i="14" s="1"/>
  <c r="J29" i="14"/>
  <c r="J34" i="14" s="1"/>
  <c r="AC27" i="14"/>
  <c r="AB27" i="14"/>
  <c r="Q27" i="14"/>
  <c r="AA26" i="14"/>
  <c r="Z26" i="14"/>
  <c r="X26" i="14"/>
  <c r="U26" i="14"/>
  <c r="V26" i="14" s="1"/>
  <c r="S26" i="14"/>
  <c r="T26" i="14" s="1"/>
  <c r="P25" i="14"/>
  <c r="N25" i="14"/>
  <c r="L25" i="14"/>
  <c r="J25" i="14"/>
  <c r="P24" i="14"/>
  <c r="N24" i="14"/>
  <c r="L24" i="14"/>
  <c r="J24" i="14"/>
  <c r="P23" i="14"/>
  <c r="N23" i="14"/>
  <c r="L23" i="14"/>
  <c r="J23" i="14"/>
  <c r="Z22" i="14"/>
  <c r="Z27" i="14" s="1"/>
  <c r="X22" i="14"/>
  <c r="U22" i="14"/>
  <c r="V22" i="14" s="1"/>
  <c r="S22" i="14"/>
  <c r="T22" i="14" s="1"/>
  <c r="R22" i="14"/>
  <c r="P21" i="14"/>
  <c r="N21" i="14"/>
  <c r="L21" i="14"/>
  <c r="J21" i="14"/>
  <c r="P20" i="14"/>
  <c r="N20" i="14"/>
  <c r="L20" i="14"/>
  <c r="J20" i="14"/>
  <c r="R20" i="14" s="1"/>
  <c r="AE20" i="14" s="1"/>
  <c r="Z19" i="14"/>
  <c r="X19" i="14"/>
  <c r="U19" i="14"/>
  <c r="V19" i="14" s="1"/>
  <c r="S19" i="14"/>
  <c r="T19" i="14" s="1"/>
  <c r="R19" i="14"/>
  <c r="Z18" i="14"/>
  <c r="X18" i="14"/>
  <c r="U18" i="14"/>
  <c r="V18" i="14" s="1"/>
  <c r="S18" i="14"/>
  <c r="T18" i="14" s="1"/>
  <c r="R18" i="14"/>
  <c r="P17" i="14"/>
  <c r="N17" i="14"/>
  <c r="L17" i="14"/>
  <c r="J17" i="14"/>
  <c r="AC15" i="14"/>
  <c r="AB15" i="14"/>
  <c r="AA15" i="14"/>
  <c r="Q15" i="14"/>
  <c r="P14" i="14"/>
  <c r="N14" i="14"/>
  <c r="L14" i="14"/>
  <c r="J14" i="14"/>
  <c r="P13" i="14"/>
  <c r="N13" i="14"/>
  <c r="N15" i="14" s="1"/>
  <c r="L13" i="14"/>
  <c r="J13" i="14"/>
  <c r="Z12" i="14"/>
  <c r="U12" i="14"/>
  <c r="V12" i="14" s="1"/>
  <c r="S12" i="14"/>
  <c r="T12" i="14" s="1"/>
  <c r="R12" i="14"/>
  <c r="P11" i="14"/>
  <c r="N11" i="14"/>
  <c r="L11" i="14"/>
  <c r="J11" i="14"/>
  <c r="Z10" i="14"/>
  <c r="X10" i="14"/>
  <c r="V10" i="14"/>
  <c r="T10" i="14"/>
  <c r="R10" i="14"/>
  <c r="Z9" i="14"/>
  <c r="X9" i="14"/>
  <c r="U9" i="14"/>
  <c r="V9" i="14" s="1"/>
  <c r="S9" i="14"/>
  <c r="T9" i="14" s="1"/>
  <c r="R9" i="14"/>
  <c r="P8" i="14"/>
  <c r="N8" i="14"/>
  <c r="L8" i="14"/>
  <c r="J8" i="14"/>
  <c r="R8" i="14" s="1"/>
  <c r="AE8" i="14" s="1"/>
  <c r="AD104" i="13"/>
  <c r="M104" i="13"/>
  <c r="P103" i="13"/>
  <c r="N103" i="13"/>
  <c r="L103" i="13"/>
  <c r="J103" i="13"/>
  <c r="O102" i="13"/>
  <c r="P102" i="13" s="1"/>
  <c r="N102" i="13"/>
  <c r="L102" i="13"/>
  <c r="J102" i="13"/>
  <c r="O101" i="13"/>
  <c r="P101" i="13" s="1"/>
  <c r="N101" i="13"/>
  <c r="L101" i="13"/>
  <c r="J101" i="13"/>
  <c r="J104" i="13" s="1"/>
  <c r="AC99" i="13"/>
  <c r="AB99" i="13"/>
  <c r="AA99" i="13"/>
  <c r="Q99" i="13"/>
  <c r="Z98" i="13"/>
  <c r="X98" i="13"/>
  <c r="V98" i="13"/>
  <c r="T98" i="13"/>
  <c r="R98" i="13"/>
  <c r="Z97" i="13"/>
  <c r="Z99" i="13" s="1"/>
  <c r="X97" i="13"/>
  <c r="V97" i="13"/>
  <c r="V99" i="13" s="1"/>
  <c r="T97" i="13"/>
  <c r="R97" i="13"/>
  <c r="V96" i="13"/>
  <c r="T96" i="13"/>
  <c r="P96" i="13"/>
  <c r="N96" i="13"/>
  <c r="L96" i="13"/>
  <c r="J96" i="13"/>
  <c r="V95" i="13"/>
  <c r="T95" i="13"/>
  <c r="T99" i="13" s="1"/>
  <c r="P95" i="13"/>
  <c r="N95" i="13"/>
  <c r="L95" i="13"/>
  <c r="J95" i="13"/>
  <c r="P94" i="13"/>
  <c r="N94" i="13"/>
  <c r="L94" i="13"/>
  <c r="J94" i="13"/>
  <c r="AB92" i="13"/>
  <c r="Q92" i="13"/>
  <c r="AA91" i="13"/>
  <c r="Z91" i="13"/>
  <c r="Z92" i="13" s="1"/>
  <c r="X91" i="13"/>
  <c r="V91" i="13"/>
  <c r="S91" i="13"/>
  <c r="T91" i="13" s="1"/>
  <c r="AA90" i="13"/>
  <c r="Z90" i="13"/>
  <c r="X90" i="13"/>
  <c r="V90" i="13"/>
  <c r="S90" i="13"/>
  <c r="T90" i="13" s="1"/>
  <c r="AD89" i="13"/>
  <c r="P89" i="13"/>
  <c r="N89" i="13"/>
  <c r="L89" i="13"/>
  <c r="R89" i="13" s="1"/>
  <c r="AE89" i="13" s="1"/>
  <c r="J89" i="13"/>
  <c r="AA88" i="13"/>
  <c r="Z88" i="13"/>
  <c r="X88" i="13"/>
  <c r="V88" i="13"/>
  <c r="S88" i="13"/>
  <c r="T88" i="13" s="1"/>
  <c r="AD87" i="13"/>
  <c r="AE87" i="13" s="1"/>
  <c r="AA86" i="13"/>
  <c r="Z86" i="13"/>
  <c r="X86" i="13"/>
  <c r="V86" i="13"/>
  <c r="S86" i="13"/>
  <c r="T86" i="13" s="1"/>
  <c r="AD85" i="13"/>
  <c r="P85" i="13"/>
  <c r="R85" i="13" s="1"/>
  <c r="AE85" i="13" s="1"/>
  <c r="N85" i="13"/>
  <c r="L85" i="13"/>
  <c r="J85" i="13"/>
  <c r="P84" i="13"/>
  <c r="N84" i="13"/>
  <c r="L84" i="13"/>
  <c r="J84" i="13"/>
  <c r="AC83" i="13"/>
  <c r="AC92" i="13" s="1"/>
  <c r="V83" i="13"/>
  <c r="T83" i="13"/>
  <c r="AD83" i="13" s="1"/>
  <c r="AE83" i="13" s="1"/>
  <c r="X82" i="13"/>
  <c r="V82" i="13"/>
  <c r="AD82" i="13" s="1"/>
  <c r="AE82" i="13" s="1"/>
  <c r="T82" i="13"/>
  <c r="AB80" i="13"/>
  <c r="Q80" i="13"/>
  <c r="AD79" i="13"/>
  <c r="P79" i="13"/>
  <c r="N79" i="13"/>
  <c r="L79" i="13"/>
  <c r="J79" i="13"/>
  <c r="AA78" i="13"/>
  <c r="AA80" i="13" s="1"/>
  <c r="Z78" i="13"/>
  <c r="Z80" i="13" s="1"/>
  <c r="X78" i="13"/>
  <c r="V78" i="13"/>
  <c r="V80" i="13" s="1"/>
  <c r="T78" i="13"/>
  <c r="AC77" i="13"/>
  <c r="AC80" i="13" s="1"/>
  <c r="Z77" i="13"/>
  <c r="X77" i="13"/>
  <c r="V77" i="13"/>
  <c r="T77" i="13"/>
  <c r="P76" i="13"/>
  <c r="N76" i="13"/>
  <c r="L76" i="13"/>
  <c r="J76" i="13"/>
  <c r="R76" i="13" s="1"/>
  <c r="AE76" i="13" s="1"/>
  <c r="P75" i="13"/>
  <c r="N75" i="13"/>
  <c r="N80" i="13" s="1"/>
  <c r="L75" i="13"/>
  <c r="J75" i="13"/>
  <c r="P74" i="13"/>
  <c r="N74" i="13"/>
  <c r="L74" i="13"/>
  <c r="J74" i="13"/>
  <c r="P73" i="13"/>
  <c r="N73" i="13"/>
  <c r="L73" i="13"/>
  <c r="J73" i="13"/>
  <c r="R73" i="13" s="1"/>
  <c r="AE73" i="13" s="1"/>
  <c r="AC71" i="13"/>
  <c r="AB71" i="13"/>
  <c r="Q71" i="13"/>
  <c r="AA70" i="13"/>
  <c r="AA71" i="13" s="1"/>
  <c r="Z70" i="13"/>
  <c r="X70" i="13"/>
  <c r="V70" i="13"/>
  <c r="T70" i="13"/>
  <c r="P69" i="13"/>
  <c r="N69" i="13"/>
  <c r="L69" i="13"/>
  <c r="J69" i="13"/>
  <c r="R69" i="13" s="1"/>
  <c r="AE69" i="13" s="1"/>
  <c r="P68" i="13"/>
  <c r="N68" i="13"/>
  <c r="L68" i="13"/>
  <c r="J68" i="13"/>
  <c r="Z67" i="13"/>
  <c r="Z71" i="13" s="1"/>
  <c r="X67" i="13"/>
  <c r="X71" i="13" s="1"/>
  <c r="V67" i="13"/>
  <c r="V71" i="13" s="1"/>
  <c r="T67" i="13"/>
  <c r="P66" i="13"/>
  <c r="N66" i="13"/>
  <c r="L66" i="13"/>
  <c r="J66" i="13"/>
  <c r="R66" i="13" s="1"/>
  <c r="AE66" i="13" s="1"/>
  <c r="P65" i="13"/>
  <c r="N65" i="13"/>
  <c r="L65" i="13"/>
  <c r="J65" i="13"/>
  <c r="P64" i="13"/>
  <c r="N64" i="13"/>
  <c r="L64" i="13"/>
  <c r="J64" i="13"/>
  <c r="AC62" i="13"/>
  <c r="AB62" i="13"/>
  <c r="Q62" i="13"/>
  <c r="AA61" i="13"/>
  <c r="AA62" i="13" s="1"/>
  <c r="Z61" i="13"/>
  <c r="Z62" i="13" s="1"/>
  <c r="X61" i="13"/>
  <c r="X62" i="13" s="1"/>
  <c r="V61" i="13"/>
  <c r="V62" i="13" s="1"/>
  <c r="T61" i="13"/>
  <c r="T62" i="13" s="1"/>
  <c r="P60" i="13"/>
  <c r="N60" i="13"/>
  <c r="L60" i="13"/>
  <c r="J60" i="13"/>
  <c r="P59" i="13"/>
  <c r="N59" i="13"/>
  <c r="L59" i="13"/>
  <c r="J59" i="13"/>
  <c r="R59" i="13" s="1"/>
  <c r="AE59" i="13" s="1"/>
  <c r="P58" i="13"/>
  <c r="N58" i="13"/>
  <c r="N62" i="13" s="1"/>
  <c r="L58" i="13"/>
  <c r="J58" i="13"/>
  <c r="AC56" i="13"/>
  <c r="AB56" i="13"/>
  <c r="Q56" i="13"/>
  <c r="AA55" i="13"/>
  <c r="AA56" i="13" s="1"/>
  <c r="Z55" i="13"/>
  <c r="X55" i="13"/>
  <c r="V55" i="13"/>
  <c r="T55" i="13"/>
  <c r="AD55" i="13" s="1"/>
  <c r="AE55" i="13" s="1"/>
  <c r="P54" i="13"/>
  <c r="N54" i="13"/>
  <c r="N56" i="13" s="1"/>
  <c r="L54" i="13"/>
  <c r="J54" i="13"/>
  <c r="Z53" i="13"/>
  <c r="Z56" i="13" s="1"/>
  <c r="X53" i="13"/>
  <c r="V53" i="13"/>
  <c r="V56" i="13" s="1"/>
  <c r="T53" i="13"/>
  <c r="N52" i="13"/>
  <c r="L52" i="13"/>
  <c r="J52" i="13"/>
  <c r="P51" i="13"/>
  <c r="P56" i="13" s="1"/>
  <c r="N51" i="13"/>
  <c r="L51" i="13"/>
  <c r="J51" i="13"/>
  <c r="AC49" i="13"/>
  <c r="AB49" i="13"/>
  <c r="AA49" i="13"/>
  <c r="Q49" i="13"/>
  <c r="P48" i="13"/>
  <c r="N48" i="13"/>
  <c r="L48" i="13"/>
  <c r="J48" i="13"/>
  <c r="Z47" i="13"/>
  <c r="Z49" i="13" s="1"/>
  <c r="X47" i="13"/>
  <c r="X49" i="13" s="1"/>
  <c r="V47" i="13"/>
  <c r="V49" i="13" s="1"/>
  <c r="T47" i="13"/>
  <c r="T49" i="13" s="1"/>
  <c r="R47" i="13"/>
  <c r="P46" i="13"/>
  <c r="N46" i="13"/>
  <c r="L46" i="13"/>
  <c r="J46" i="13"/>
  <c r="P45" i="13"/>
  <c r="N45" i="13"/>
  <c r="L45" i="13"/>
  <c r="J45" i="13"/>
  <c r="J49" i="13" s="1"/>
  <c r="AC43" i="13"/>
  <c r="AB43" i="13"/>
  <c r="Q43" i="13"/>
  <c r="AA42" i="13"/>
  <c r="AA43" i="13" s="1"/>
  <c r="Z42" i="13"/>
  <c r="X42" i="13"/>
  <c r="V42" i="13"/>
  <c r="T42" i="13"/>
  <c r="AA41" i="13"/>
  <c r="Z41" i="13"/>
  <c r="X41" i="13"/>
  <c r="V41" i="13"/>
  <c r="AD41" i="13" s="1"/>
  <c r="T41" i="13"/>
  <c r="P40" i="13"/>
  <c r="N40" i="13"/>
  <c r="L40" i="13"/>
  <c r="J40" i="13"/>
  <c r="P39" i="13"/>
  <c r="N39" i="13"/>
  <c r="L39" i="13"/>
  <c r="J39" i="13"/>
  <c r="P38" i="13"/>
  <c r="N38" i="13"/>
  <c r="L38" i="13"/>
  <c r="J38" i="13"/>
  <c r="P37" i="13"/>
  <c r="N37" i="13"/>
  <c r="L37" i="13"/>
  <c r="J37" i="13"/>
  <c r="J43" i="13" s="1"/>
  <c r="AB35" i="13"/>
  <c r="Q35" i="13"/>
  <c r="AC34" i="13"/>
  <c r="AC35" i="13" s="1"/>
  <c r="AA34" i="13"/>
  <c r="AA35" i="13" s="1"/>
  <c r="Z34" i="13"/>
  <c r="Z35" i="13" s="1"/>
  <c r="X34" i="13"/>
  <c r="X35" i="13" s="1"/>
  <c r="V34" i="13"/>
  <c r="V35" i="13" s="1"/>
  <c r="T34" i="13"/>
  <c r="T35" i="13" s="1"/>
  <c r="P33" i="13"/>
  <c r="P35" i="13" s="1"/>
  <c r="N33" i="13"/>
  <c r="L33" i="13"/>
  <c r="J33" i="13"/>
  <c r="P32" i="13"/>
  <c r="N32" i="13"/>
  <c r="L32" i="13"/>
  <c r="J32" i="13"/>
  <c r="P31" i="13"/>
  <c r="N31" i="13"/>
  <c r="L31" i="13"/>
  <c r="R31" i="13" s="1"/>
  <c r="AE31" i="13" s="1"/>
  <c r="J31" i="13"/>
  <c r="AC29" i="13"/>
  <c r="AB29" i="13"/>
  <c r="Q29" i="13"/>
  <c r="AA28" i="13"/>
  <c r="Z28" i="13"/>
  <c r="X28" i="13"/>
  <c r="T28" i="13"/>
  <c r="AA27" i="13"/>
  <c r="Z27" i="13"/>
  <c r="X27" i="13"/>
  <c r="U27" i="13"/>
  <c r="V27" i="13" s="1"/>
  <c r="AD27" i="13" s="1"/>
  <c r="S27" i="13"/>
  <c r="T27" i="13" s="1"/>
  <c r="Z26" i="13"/>
  <c r="X26" i="13"/>
  <c r="U26" i="13"/>
  <c r="V26" i="13" s="1"/>
  <c r="S26" i="13"/>
  <c r="T26" i="13" s="1"/>
  <c r="X25" i="13"/>
  <c r="U25" i="13"/>
  <c r="V25" i="13" s="1"/>
  <c r="S25" i="13"/>
  <c r="T25" i="13" s="1"/>
  <c r="P24" i="13"/>
  <c r="N24" i="13"/>
  <c r="N29" i="13" s="1"/>
  <c r="L24" i="13"/>
  <c r="L29" i="13" s="1"/>
  <c r="J24" i="13"/>
  <c r="J29" i="13" s="1"/>
  <c r="AC22" i="13"/>
  <c r="AB22" i="13"/>
  <c r="Q22" i="13"/>
  <c r="AA21" i="13"/>
  <c r="AA22" i="13" s="1"/>
  <c r="Z21" i="13"/>
  <c r="X21" i="13"/>
  <c r="U21" i="13"/>
  <c r="V21" i="13" s="1"/>
  <c r="S21" i="13"/>
  <c r="T21" i="13" s="1"/>
  <c r="AD20" i="13"/>
  <c r="P20" i="13"/>
  <c r="N20" i="13"/>
  <c r="L20" i="13"/>
  <c r="L22" i="13" s="1"/>
  <c r="J20" i="13"/>
  <c r="AD19" i="13"/>
  <c r="P19" i="13"/>
  <c r="N19" i="13"/>
  <c r="R19" i="13" s="1"/>
  <c r="L19" i="13"/>
  <c r="J19" i="13"/>
  <c r="Z18" i="13"/>
  <c r="X18" i="13"/>
  <c r="U18" i="13"/>
  <c r="V18" i="13" s="1"/>
  <c r="S18" i="13"/>
  <c r="T18" i="13" s="1"/>
  <c r="R18" i="13"/>
  <c r="P17" i="13"/>
  <c r="N17" i="13"/>
  <c r="L17" i="13"/>
  <c r="J17" i="13"/>
  <c r="P16" i="13"/>
  <c r="R16" i="13" s="1"/>
  <c r="AE16" i="13" s="1"/>
  <c r="N16" i="13"/>
  <c r="L16" i="13"/>
  <c r="J16" i="13"/>
  <c r="Z15" i="13"/>
  <c r="X15" i="13"/>
  <c r="U15" i="13"/>
  <c r="V15" i="13" s="1"/>
  <c r="S15" i="13"/>
  <c r="T15" i="13" s="1"/>
  <c r="R15" i="13"/>
  <c r="P14" i="13"/>
  <c r="N14" i="13"/>
  <c r="N22" i="13" s="1"/>
  <c r="L14" i="13"/>
  <c r="J14" i="13"/>
  <c r="J22" i="13" s="1"/>
  <c r="AC12" i="13"/>
  <c r="AB12" i="13"/>
  <c r="AA12" i="13"/>
  <c r="Q12" i="13"/>
  <c r="P11" i="13"/>
  <c r="N11" i="13"/>
  <c r="L11" i="13"/>
  <c r="J11" i="13"/>
  <c r="R11" i="13" s="1"/>
  <c r="AE11" i="13" s="1"/>
  <c r="P10" i="13"/>
  <c r="N10" i="13"/>
  <c r="N12" i="13" s="1"/>
  <c r="L10" i="13"/>
  <c r="J10" i="13"/>
  <c r="Z9" i="13"/>
  <c r="Z12" i="13" s="1"/>
  <c r="X9" i="13"/>
  <c r="X12" i="13" s="1"/>
  <c r="V9" i="13"/>
  <c r="V12" i="13" s="1"/>
  <c r="T9" i="13"/>
  <c r="T12" i="13" s="1"/>
  <c r="R9" i="13"/>
  <c r="P8" i="13"/>
  <c r="N8" i="13"/>
  <c r="L8" i="13"/>
  <c r="R8" i="13" s="1"/>
  <c r="AE8" i="13" s="1"/>
  <c r="J8" i="13"/>
  <c r="F13" i="6"/>
  <c r="V16" i="4"/>
  <c r="BS35" i="42"/>
  <c r="BR35" i="42"/>
  <c r="BQ35" i="42"/>
  <c r="BP35" i="42"/>
  <c r="BO35" i="42"/>
  <c r="BN35" i="42"/>
  <c r="BM35" i="42"/>
  <c r="BL35" i="42"/>
  <c r="BH35" i="42"/>
  <c r="BG35" i="42"/>
  <c r="BF35" i="42"/>
  <c r="BE35" i="42"/>
  <c r="BD35" i="42"/>
  <c r="BC35" i="42"/>
  <c r="BB35" i="42"/>
  <c r="BA35" i="42"/>
  <c r="AZ35" i="42"/>
  <c r="AY35" i="42"/>
  <c r="AX35" i="42"/>
  <c r="AW35" i="42"/>
  <c r="AV35" i="42"/>
  <c r="AU35" i="42"/>
  <c r="AT35" i="42"/>
  <c r="AS35" i="42"/>
  <c r="AR35" i="42"/>
  <c r="AQ35" i="42"/>
  <c r="AP35" i="42"/>
  <c r="AO35" i="42"/>
  <c r="AN35" i="42"/>
  <c r="AM35" i="42"/>
  <c r="AL35" i="42"/>
  <c r="AK35" i="42"/>
  <c r="AJ35" i="42"/>
  <c r="AI35" i="42"/>
  <c r="AH35" i="42"/>
  <c r="AG35" i="42"/>
  <c r="AF35" i="42"/>
  <c r="AE35" i="42"/>
  <c r="AD35" i="42"/>
  <c r="AC35" i="42"/>
  <c r="AB35" i="42"/>
  <c r="V35" i="42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BK34" i="42"/>
  <c r="BT34" i="42" s="1"/>
  <c r="BI34" i="42"/>
  <c r="U34" i="42"/>
  <c r="BJ34" i="42" s="1"/>
  <c r="BK33" i="42"/>
  <c r="BT33" i="42" s="1"/>
  <c r="BI33" i="42"/>
  <c r="U33" i="42"/>
  <c r="BJ33" i="42" s="1"/>
  <c r="BK32" i="42"/>
  <c r="BT32" i="42" s="1"/>
  <c r="BI32" i="42"/>
  <c r="U32" i="42"/>
  <c r="BJ32" i="42" s="1"/>
  <c r="BK31" i="42"/>
  <c r="BT31" i="42" s="1"/>
  <c r="BU31" i="42" s="1"/>
  <c r="BV31" i="42" s="1"/>
  <c r="BI31" i="42"/>
  <c r="U31" i="42"/>
  <c r="BJ31" i="42" s="1"/>
  <c r="BK30" i="42"/>
  <c r="BT30" i="42" s="1"/>
  <c r="BI30" i="42"/>
  <c r="U30" i="42"/>
  <c r="BJ30" i="42" s="1"/>
  <c r="BK29" i="42"/>
  <c r="BT29" i="42" s="1"/>
  <c r="BI29" i="42"/>
  <c r="U29" i="42"/>
  <c r="BJ29" i="42" s="1"/>
  <c r="BK28" i="42"/>
  <c r="BT28" i="42" s="1"/>
  <c r="BI28" i="42"/>
  <c r="BU28" i="42" s="1"/>
  <c r="BV28" i="42" s="1"/>
  <c r="U28" i="42"/>
  <c r="BJ28" i="42" s="1"/>
  <c r="BK27" i="42"/>
  <c r="BT27" i="42" s="1"/>
  <c r="BI27" i="42"/>
  <c r="U27" i="42"/>
  <c r="BJ27" i="42" s="1"/>
  <c r="BK26" i="42"/>
  <c r="BT26" i="42" s="1"/>
  <c r="BI26" i="42"/>
  <c r="U26" i="42"/>
  <c r="BJ26" i="42" s="1"/>
  <c r="BK25" i="42"/>
  <c r="BT25" i="42" s="1"/>
  <c r="BI25" i="42"/>
  <c r="U25" i="42"/>
  <c r="BJ25" i="42" s="1"/>
  <c r="BK24" i="42"/>
  <c r="BT24" i="42" s="1"/>
  <c r="BI24" i="42"/>
  <c r="U24" i="42"/>
  <c r="BJ24" i="42" s="1"/>
  <c r="BK23" i="42"/>
  <c r="BT23" i="42" s="1"/>
  <c r="BI23" i="42"/>
  <c r="U23" i="42"/>
  <c r="BJ23" i="42" s="1"/>
  <c r="BK22" i="42"/>
  <c r="BT22" i="42" s="1"/>
  <c r="BI22" i="42"/>
  <c r="U22" i="42"/>
  <c r="BJ22" i="42" s="1"/>
  <c r="BK21" i="42"/>
  <c r="BT21" i="42" s="1"/>
  <c r="BI21" i="42"/>
  <c r="U21" i="42"/>
  <c r="BJ21" i="42" s="1"/>
  <c r="BK20" i="42"/>
  <c r="BT20" i="42" s="1"/>
  <c r="BI20" i="42"/>
  <c r="BI35" i="42" s="1"/>
  <c r="U20" i="42"/>
  <c r="BJ20" i="42" s="1"/>
  <c r="BK19" i="42"/>
  <c r="BT19" i="42" s="1"/>
  <c r="BU19" i="42" s="1"/>
  <c r="BV19" i="42" s="1"/>
  <c r="BI19" i="42"/>
  <c r="U19" i="42"/>
  <c r="BJ19" i="42" s="1"/>
  <c r="BK18" i="42"/>
  <c r="BT18" i="42" s="1"/>
  <c r="BI18" i="42"/>
  <c r="U18" i="42"/>
  <c r="BJ18" i="42" s="1"/>
  <c r="AI120" i="2"/>
  <c r="AH120" i="2"/>
  <c r="E120" i="2"/>
  <c r="AC99" i="2"/>
  <c r="E99" i="2"/>
  <c r="E121" i="2" s="1"/>
  <c r="AA98" i="2"/>
  <c r="AB98" i="2" s="1"/>
  <c r="K98" i="2"/>
  <c r="AA97" i="2"/>
  <c r="S97" i="2"/>
  <c r="K97" i="2"/>
  <c r="AE97" i="2" s="1"/>
  <c r="Q96" i="2"/>
  <c r="K96" i="2"/>
  <c r="AE96" i="2" s="1"/>
  <c r="AA95" i="2"/>
  <c r="Q95" i="2"/>
  <c r="Q99" i="2" s="1"/>
  <c r="K95" i="2"/>
  <c r="AA94" i="2"/>
  <c r="K94" i="2"/>
  <c r="AE94" i="2" s="1"/>
  <c r="AA93" i="2"/>
  <c r="K93" i="2"/>
  <c r="AE93" i="2" s="1"/>
  <c r="AA92" i="2"/>
  <c r="K92" i="2"/>
  <c r="AE92" i="2" s="1"/>
  <c r="AA91" i="2"/>
  <c r="K91" i="2"/>
  <c r="AH91" i="2" s="1"/>
  <c r="AA90" i="2"/>
  <c r="U90" i="2"/>
  <c r="K90" i="2"/>
  <c r="AE90" i="2" s="1"/>
  <c r="AA89" i="2"/>
  <c r="U89" i="2"/>
  <c r="K89" i="2"/>
  <c r="AE89" i="2" s="1"/>
  <c r="AA88" i="2"/>
  <c r="U88" i="2"/>
  <c r="U99" i="2" s="1"/>
  <c r="K88" i="2"/>
  <c r="AE88" i="2" s="1"/>
  <c r="AA87" i="2"/>
  <c r="U87" i="2"/>
  <c r="K87" i="2"/>
  <c r="AH87" i="2" s="1"/>
  <c r="AA86" i="2"/>
  <c r="K86" i="2"/>
  <c r="AE86" i="2" s="1"/>
  <c r="AA85" i="2"/>
  <c r="K85" i="2"/>
  <c r="AE85" i="2" s="1"/>
  <c r="K84" i="2"/>
  <c r="J84" i="2"/>
  <c r="M84" i="2" s="1"/>
  <c r="K83" i="2"/>
  <c r="AE83" i="2" s="1"/>
  <c r="AF83" i="2" s="1"/>
  <c r="J83" i="2"/>
  <c r="M83" i="2" s="1"/>
  <c r="K82" i="2"/>
  <c r="O82" i="2" s="1"/>
  <c r="J82" i="2"/>
  <c r="K81" i="2"/>
  <c r="N81" i="2" s="1"/>
  <c r="J81" i="2"/>
  <c r="M81" i="2" s="1"/>
  <c r="K80" i="2"/>
  <c r="J80" i="2"/>
  <c r="L80" i="2" s="1"/>
  <c r="AA79" i="2"/>
  <c r="K79" i="2"/>
  <c r="N79" i="2" s="1"/>
  <c r="J79" i="2"/>
  <c r="L79" i="2" s="1"/>
  <c r="AA78" i="2"/>
  <c r="AB78" i="2" s="1"/>
  <c r="K78" i="2"/>
  <c r="AE78" i="2" s="1"/>
  <c r="AA77" i="2"/>
  <c r="AB77" i="2" s="1"/>
  <c r="K77" i="2"/>
  <c r="AH77" i="2" s="1"/>
  <c r="J77" i="2"/>
  <c r="U76" i="2"/>
  <c r="K76" i="2"/>
  <c r="N76" i="2" s="1"/>
  <c r="J76" i="2"/>
  <c r="M76" i="2" s="1"/>
  <c r="K75" i="2"/>
  <c r="AE75" i="2" s="1"/>
  <c r="J75" i="2"/>
  <c r="M75" i="2" s="1"/>
  <c r="AA74" i="2"/>
  <c r="K74" i="2"/>
  <c r="AE74" i="2" s="1"/>
  <c r="J74" i="2"/>
  <c r="M74" i="2" s="1"/>
  <c r="AA73" i="2"/>
  <c r="K73" i="2"/>
  <c r="AE73" i="2" s="1"/>
  <c r="J73" i="2"/>
  <c r="K72" i="2"/>
  <c r="AH72" i="2" s="1"/>
  <c r="J72" i="2"/>
  <c r="M72" i="2" s="1"/>
  <c r="AA71" i="2"/>
  <c r="K71" i="2"/>
  <c r="AH71" i="2" s="1"/>
  <c r="J71" i="2"/>
  <c r="M71" i="2" s="1"/>
  <c r="AA70" i="2"/>
  <c r="K70" i="2"/>
  <c r="AE70" i="2" s="1"/>
  <c r="J70" i="2"/>
  <c r="M70" i="2" s="1"/>
  <c r="AA69" i="2"/>
  <c r="K69" i="2"/>
  <c r="AH69" i="2" s="1"/>
  <c r="J69" i="2"/>
  <c r="K68" i="2"/>
  <c r="AH68" i="2" s="1"/>
  <c r="J68" i="2"/>
  <c r="AA67" i="2"/>
  <c r="K67" i="2"/>
  <c r="AE67" i="2" s="1"/>
  <c r="J67" i="2"/>
  <c r="AA66" i="2"/>
  <c r="K66" i="2"/>
  <c r="AE66" i="2" s="1"/>
  <c r="J66" i="2"/>
  <c r="AA65" i="2"/>
  <c r="K65" i="2"/>
  <c r="AE65" i="2" s="1"/>
  <c r="J65" i="2"/>
  <c r="AA64" i="2"/>
  <c r="AB64" i="2" s="1"/>
  <c r="AF64" i="2" s="1"/>
  <c r="AG64" i="2" s="1"/>
  <c r="S64" i="2"/>
  <c r="K64" i="2"/>
  <c r="AE64" i="2" s="1"/>
  <c r="K63" i="2"/>
  <c r="O63" i="2" s="1"/>
  <c r="J63" i="2"/>
  <c r="K62" i="2"/>
  <c r="N62" i="2" s="1"/>
  <c r="J62" i="2"/>
  <c r="AA61" i="2"/>
  <c r="K61" i="2"/>
  <c r="AE61" i="2" s="1"/>
  <c r="J61" i="2"/>
  <c r="AA60" i="2"/>
  <c r="S60" i="2"/>
  <c r="K60" i="2"/>
  <c r="AE60" i="2" s="1"/>
  <c r="J60" i="2"/>
  <c r="AA59" i="2"/>
  <c r="K59" i="2"/>
  <c r="AE59" i="2" s="1"/>
  <c r="AA58" i="2"/>
  <c r="K58" i="2"/>
  <c r="AA57" i="2"/>
  <c r="K57" i="2"/>
  <c r="AE57" i="2" s="1"/>
  <c r="AA56" i="2"/>
  <c r="W56" i="2"/>
  <c r="K56" i="2"/>
  <c r="AH56" i="2" s="1"/>
  <c r="AA55" i="2"/>
  <c r="W55" i="2"/>
  <c r="K55" i="2"/>
  <c r="AE55" i="2" s="1"/>
  <c r="AA54" i="2"/>
  <c r="W54" i="2"/>
  <c r="K54" i="2"/>
  <c r="AE54" i="2" s="1"/>
  <c r="AA53" i="2"/>
  <c r="W53" i="2"/>
  <c r="K53" i="2"/>
  <c r="AH53" i="2" s="1"/>
  <c r="AA52" i="2"/>
  <c r="W52" i="2"/>
  <c r="K52" i="2"/>
  <c r="AH52" i="2" s="1"/>
  <c r="W51" i="2"/>
  <c r="K51" i="2"/>
  <c r="AE51" i="2" s="1"/>
  <c r="AA50" i="2"/>
  <c r="W50" i="2"/>
  <c r="K50" i="2"/>
  <c r="AE50" i="2" s="1"/>
  <c r="AA49" i="2"/>
  <c r="W49" i="2"/>
  <c r="K49" i="2"/>
  <c r="W48" i="2"/>
  <c r="K48" i="2"/>
  <c r="AE48" i="2" s="1"/>
  <c r="W47" i="2"/>
  <c r="K47" i="2"/>
  <c r="AD47" i="2" s="1"/>
  <c r="W46" i="2"/>
  <c r="K46" i="2"/>
  <c r="AE46" i="2" s="1"/>
  <c r="W45" i="2"/>
  <c r="K45" i="2"/>
  <c r="AD45" i="2" s="1"/>
  <c r="AA44" i="2"/>
  <c r="W44" i="2"/>
  <c r="K44" i="2"/>
  <c r="AH44" i="2" s="1"/>
  <c r="AA43" i="2"/>
  <c r="W43" i="2"/>
  <c r="K43" i="2"/>
  <c r="AH43" i="2" s="1"/>
  <c r="AA42" i="2"/>
  <c r="W42" i="2"/>
  <c r="K42" i="2"/>
  <c r="AE42" i="2" s="1"/>
  <c r="W41" i="2"/>
  <c r="K41" i="2"/>
  <c r="W40" i="2"/>
  <c r="K40" i="2"/>
  <c r="AA39" i="2"/>
  <c r="W39" i="2"/>
  <c r="K39" i="2"/>
  <c r="AE39" i="2" s="1"/>
  <c r="AA38" i="2"/>
  <c r="W38" i="2"/>
  <c r="K38" i="2"/>
  <c r="AH38" i="2" s="1"/>
  <c r="W37" i="2"/>
  <c r="K37" i="2"/>
  <c r="AH37" i="2" s="1"/>
  <c r="W36" i="2"/>
  <c r="K36" i="2"/>
  <c r="AH36" i="2" s="1"/>
  <c r="W35" i="2"/>
  <c r="K35" i="2"/>
  <c r="AE35" i="2" s="1"/>
  <c r="AA34" i="2"/>
  <c r="W34" i="2"/>
  <c r="K34" i="2"/>
  <c r="AH34" i="2" s="1"/>
  <c r="AA33" i="2"/>
  <c r="W33" i="2"/>
  <c r="K33" i="2"/>
  <c r="AE33" i="2" s="1"/>
  <c r="W32" i="2"/>
  <c r="K32" i="2"/>
  <c r="AH32" i="2" s="1"/>
  <c r="W31" i="2"/>
  <c r="K31" i="2"/>
  <c r="W30" i="2"/>
  <c r="K30" i="2"/>
  <c r="AA29" i="2"/>
  <c r="W29" i="2"/>
  <c r="K29" i="2"/>
  <c r="AE29" i="2" s="1"/>
  <c r="AA28" i="2"/>
  <c r="W28" i="2"/>
  <c r="K28" i="2"/>
  <c r="AH28" i="2" s="1"/>
  <c r="AJ27" i="2"/>
  <c r="AA27" i="2"/>
  <c r="K27" i="2"/>
  <c r="AE27" i="2" s="1"/>
  <c r="AA26" i="2"/>
  <c r="K26" i="2"/>
  <c r="AE26" i="2" s="1"/>
  <c r="AA25" i="2"/>
  <c r="K25" i="2"/>
  <c r="AE25" i="2" s="1"/>
  <c r="AA24" i="2"/>
  <c r="K24" i="2"/>
  <c r="AE24" i="2" s="1"/>
  <c r="AA23" i="2"/>
  <c r="K23" i="2"/>
  <c r="AE23" i="2" s="1"/>
  <c r="AA22" i="2"/>
  <c r="K22" i="2"/>
  <c r="AE22" i="2" s="1"/>
  <c r="AA21" i="2"/>
  <c r="K21" i="2"/>
  <c r="AE21" i="2" s="1"/>
  <c r="AA20" i="2"/>
  <c r="K20" i="2"/>
  <c r="AE20" i="2" s="1"/>
  <c r="K19" i="2"/>
  <c r="AH19" i="2" s="1"/>
  <c r="AA18" i="2"/>
  <c r="K18" i="2"/>
  <c r="AH18" i="2" s="1"/>
  <c r="AA17" i="2"/>
  <c r="K17" i="2"/>
  <c r="AH17" i="2" s="1"/>
  <c r="AA16" i="2"/>
  <c r="K16" i="2"/>
  <c r="AE16" i="2" s="1"/>
  <c r="AA15" i="2"/>
  <c r="AB15" i="2" s="1"/>
  <c r="K15" i="2"/>
  <c r="AE15" i="2" s="1"/>
  <c r="D39" i="1"/>
  <c r="C38" i="1"/>
  <c r="C37" i="1"/>
  <c r="C36" i="1"/>
  <c r="G29" i="1"/>
  <c r="C28" i="1"/>
  <c r="C27" i="1" s="1"/>
  <c r="J27" i="1"/>
  <c r="J26" i="1"/>
  <c r="I26" i="1"/>
  <c r="F26" i="1"/>
  <c r="C26" i="1"/>
  <c r="C25" i="1" s="1"/>
  <c r="C23" i="1"/>
  <c r="C22" i="1"/>
  <c r="C19" i="1"/>
  <c r="C18" i="1" s="1"/>
  <c r="C17" i="1"/>
  <c r="C16" i="1" s="1"/>
  <c r="C14" i="1"/>
  <c r="O90" i="2"/>
  <c r="AH62" i="2"/>
  <c r="AE45" i="2"/>
  <c r="AB66" i="2"/>
  <c r="N75" i="2"/>
  <c r="AE41" i="13"/>
  <c r="X43" i="13"/>
  <c r="X100" i="14"/>
  <c r="C24" i="1"/>
  <c r="AB28" i="2"/>
  <c r="AD35" i="2"/>
  <c r="AB53" i="2"/>
  <c r="AE58" i="2"/>
  <c r="AB59" i="2"/>
  <c r="N63" i="2"/>
  <c r="AE63" i="2"/>
  <c r="AE68" i="2"/>
  <c r="AE77" i="2"/>
  <c r="AE81" i="2"/>
  <c r="AD15" i="13"/>
  <c r="N49" i="13"/>
  <c r="R52" i="13"/>
  <c r="AE52" i="13" s="1"/>
  <c r="M80" i="2"/>
  <c r="AD67" i="13"/>
  <c r="AE67" i="13" s="1"/>
  <c r="X80" i="13"/>
  <c r="R103" i="13"/>
  <c r="AE103" i="13" s="1"/>
  <c r="R11" i="14"/>
  <c r="AE11" i="14" s="1"/>
  <c r="V45" i="14"/>
  <c r="AD103" i="14"/>
  <c r="AE103" i="14" s="1"/>
  <c r="AA113" i="14"/>
  <c r="L82" i="2"/>
  <c r="M82" i="2"/>
  <c r="S99" i="2"/>
  <c r="Z78" i="14"/>
  <c r="AH48" i="2"/>
  <c r="AH57" i="2"/>
  <c r="AB17" i="2"/>
  <c r="AH29" i="2"/>
  <c r="AD36" i="2"/>
  <c r="AH39" i="2"/>
  <c r="AH45" i="2"/>
  <c r="AH54" i="2"/>
  <c r="AH58" i="2"/>
  <c r="O62" i="2"/>
  <c r="AH63" i="2"/>
  <c r="AH64" i="2"/>
  <c r="AE84" i="2"/>
  <c r="AF84" i="2" s="1"/>
  <c r="O88" i="2"/>
  <c r="AE91" i="2"/>
  <c r="X22" i="13"/>
  <c r="AD28" i="13"/>
  <c r="AE28" i="13"/>
  <c r="V100" i="14"/>
  <c r="AD106" i="14"/>
  <c r="AE106" i="14" s="1"/>
  <c r="AD116" i="14"/>
  <c r="AE116" i="14" s="1"/>
  <c r="AE87" i="2"/>
  <c r="AE79" i="2"/>
  <c r="O98" i="2"/>
  <c r="AE17" i="2"/>
  <c r="AH35" i="2"/>
  <c r="AE36" i="2"/>
  <c r="AD48" i="2"/>
  <c r="AB57" i="2"/>
  <c r="AF57" i="2" s="1"/>
  <c r="AI57" i="2" s="1"/>
  <c r="AH59" i="2"/>
  <c r="AE62" i="2"/>
  <c r="AH66" i="2"/>
  <c r="AH78" i="2"/>
  <c r="AH98" i="2"/>
  <c r="Z43" i="13"/>
  <c r="AD42" i="13"/>
  <c r="R60" i="13"/>
  <c r="AE60" i="13" s="1"/>
  <c r="R74" i="13"/>
  <c r="AE74" i="13" s="1"/>
  <c r="R79" i="13"/>
  <c r="AE79" i="13" s="1"/>
  <c r="Z22" i="13"/>
  <c r="R32" i="13"/>
  <c r="AE32" i="13" s="1"/>
  <c r="N43" i="13"/>
  <c r="J92" i="13"/>
  <c r="X99" i="13"/>
  <c r="X34" i="14"/>
  <c r="X55" i="14"/>
  <c r="T66" i="14"/>
  <c r="R60" i="14"/>
  <c r="AE60" i="14" s="1"/>
  <c r="R75" i="14"/>
  <c r="AE75" i="14" s="1"/>
  <c r="AD19" i="14"/>
  <c r="R38" i="14"/>
  <c r="AE38" i="14" s="1"/>
  <c r="AD40" i="14"/>
  <c r="AE40" i="14" s="1"/>
  <c r="AD62" i="14"/>
  <c r="AE62" i="14" s="1"/>
  <c r="J93" i="14"/>
  <c r="E7" i="21"/>
  <c r="E8" i="21" s="1"/>
  <c r="AH97" i="2"/>
  <c r="BU26" i="42"/>
  <c r="BV26" i="42" s="1"/>
  <c r="X29" i="13"/>
  <c r="R38" i="13"/>
  <c r="AE38" i="13" s="1"/>
  <c r="R39" i="13"/>
  <c r="AE39" i="13" s="1"/>
  <c r="R40" i="13"/>
  <c r="AE40" i="13" s="1"/>
  <c r="T43" i="13"/>
  <c r="R48" i="13"/>
  <c r="AE48" i="13" s="1"/>
  <c r="O104" i="13"/>
  <c r="P15" i="14"/>
  <c r="V55" i="14"/>
  <c r="X66" i="14"/>
  <c r="AD96" i="14"/>
  <c r="AE96" i="14" s="1"/>
  <c r="F7" i="21"/>
  <c r="F8" i="21" s="1"/>
  <c r="AE34" i="2"/>
  <c r="AE43" i="2"/>
  <c r="AH82" i="2"/>
  <c r="AE28" i="2"/>
  <c r="AD30" i="2"/>
  <c r="AH30" i="2"/>
  <c r="AD31" i="2"/>
  <c r="AH31" i="2"/>
  <c r="AD32" i="2"/>
  <c r="AD40" i="2"/>
  <c r="AH40" i="2"/>
  <c r="AD41" i="2"/>
  <c r="AH41" i="2"/>
  <c r="AE44" i="2"/>
  <c r="AE53" i="2"/>
  <c r="J99" i="2"/>
  <c r="AF68" i="2"/>
  <c r="AG68" i="2" s="1"/>
  <c r="AE71" i="2"/>
  <c r="AE72" i="2"/>
  <c r="AF72" i="2" s="1"/>
  <c r="O76" i="2"/>
  <c r="O80" i="2"/>
  <c r="AB85" i="2"/>
  <c r="AE95" i="2"/>
  <c r="O95" i="2"/>
  <c r="P29" i="13"/>
  <c r="AE33" i="14"/>
  <c r="AD33" i="14"/>
  <c r="R47" i="14"/>
  <c r="AE47" i="14" s="1"/>
  <c r="AB20" i="2"/>
  <c r="AF20" i="2" s="1"/>
  <c r="AG20" i="2" s="1"/>
  <c r="AH20" i="2"/>
  <c r="AB23" i="2"/>
  <c r="AH23" i="2"/>
  <c r="AB24" i="2"/>
  <c r="AF24" i="2" s="1"/>
  <c r="AG24" i="2" s="1"/>
  <c r="AH24" i="2"/>
  <c r="AH25" i="2"/>
  <c r="AB26" i="2"/>
  <c r="AF26" i="2" s="1"/>
  <c r="AH26" i="2"/>
  <c r="AE30" i="2"/>
  <c r="AF30" i="2" s="1"/>
  <c r="AE31" i="2"/>
  <c r="AE32" i="2"/>
  <c r="AE40" i="2"/>
  <c r="AF40" i="2" s="1"/>
  <c r="AG40" i="2" s="1"/>
  <c r="AE41" i="2"/>
  <c r="AH42" i="2"/>
  <c r="AB50" i="2"/>
  <c r="AH50" i="2"/>
  <c r="AB55" i="2"/>
  <c r="AH55" i="2"/>
  <c r="AB61" i="2"/>
  <c r="AH61" i="2"/>
  <c r="AH65" i="2"/>
  <c r="AB70" i="2"/>
  <c r="AH70" i="2"/>
  <c r="L76" i="2"/>
  <c r="AH79" i="2"/>
  <c r="AB79" i="2"/>
  <c r="O79" i="2"/>
  <c r="L81" i="2"/>
  <c r="AH95" i="2"/>
  <c r="AE98" i="2"/>
  <c r="N98" i="2"/>
  <c r="AF98" i="2" s="1"/>
  <c r="V22" i="13"/>
  <c r="N82" i="2"/>
  <c r="AF82" i="2" s="1"/>
  <c r="AI82" i="2" s="1"/>
  <c r="AE82" i="2"/>
  <c r="O86" i="2"/>
  <c r="AH86" i="2"/>
  <c r="AB86" i="2"/>
  <c r="AB34" i="2"/>
  <c r="AF34" i="2" s="1"/>
  <c r="AB43" i="2"/>
  <c r="AE80" i="2"/>
  <c r="N80" i="2"/>
  <c r="AH80" i="2"/>
  <c r="AH85" i="2"/>
  <c r="AB92" i="2"/>
  <c r="O92" i="2"/>
  <c r="AH96" i="2"/>
  <c r="AF96" i="2"/>
  <c r="AG96" i="2" s="1"/>
  <c r="J35" i="13"/>
  <c r="AD69" i="14"/>
  <c r="AE69" i="14" s="1"/>
  <c r="O81" i="2"/>
  <c r="AH81" i="2"/>
  <c r="AB88" i="2"/>
  <c r="AH88" i="2"/>
  <c r="AB90" i="2"/>
  <c r="AF90" i="2" s="1"/>
  <c r="AH90" i="2"/>
  <c r="P49" i="13"/>
  <c r="AD53" i="13"/>
  <c r="AE53" i="13" s="1"/>
  <c r="R23" i="14"/>
  <c r="AE23" i="14" s="1"/>
  <c r="AD9" i="13"/>
  <c r="AE9" i="13" s="1"/>
  <c r="V43" i="13"/>
  <c r="R64" i="13"/>
  <c r="AE64" i="13" s="1"/>
  <c r="N92" i="13"/>
  <c r="L99" i="13"/>
  <c r="L27" i="14"/>
  <c r="Z45" i="14"/>
  <c r="AA55" i="14"/>
  <c r="R65" i="14"/>
  <c r="AE65" i="14" s="1"/>
  <c r="AD73" i="14"/>
  <c r="AE73" i="14" s="1"/>
  <c r="AD81" i="14"/>
  <c r="AE81" i="14" s="1"/>
  <c r="AB87" i="2"/>
  <c r="L49" i="13"/>
  <c r="R46" i="13"/>
  <c r="AE46" i="13" s="1"/>
  <c r="X56" i="13"/>
  <c r="R65" i="13"/>
  <c r="AE65" i="13" s="1"/>
  <c r="R84" i="13"/>
  <c r="AE84" i="13" s="1"/>
  <c r="R96" i="13"/>
  <c r="AE96" i="13" s="1"/>
  <c r="R14" i="14"/>
  <c r="AE14" i="14" s="1"/>
  <c r="AA27" i="14"/>
  <c r="AC34" i="14"/>
  <c r="T45" i="14"/>
  <c r="AD37" i="14"/>
  <c r="AE37" i="14" s="1"/>
  <c r="R43" i="14"/>
  <c r="AE43" i="14" s="1"/>
  <c r="Z66" i="14"/>
  <c r="T71" i="13"/>
  <c r="T80" i="13"/>
  <c r="R94" i="13"/>
  <c r="AE94" i="13" s="1"/>
  <c r="V86" i="14"/>
  <c r="R82" i="14"/>
  <c r="AE82" i="14"/>
  <c r="AD59" i="14"/>
  <c r="AE59" i="14" s="1"/>
  <c r="R76" i="14"/>
  <c r="AE76" i="14" s="1"/>
  <c r="P86" i="14"/>
  <c r="R92" i="14"/>
  <c r="AE92" i="14" s="1"/>
  <c r="Z100" i="14"/>
  <c r="P100" i="14"/>
  <c r="AD112" i="14"/>
  <c r="AE112" i="14" s="1"/>
  <c r="AD90" i="14"/>
  <c r="AE90" i="14" s="1"/>
  <c r="T118" i="14"/>
  <c r="R120" i="14"/>
  <c r="AE120" i="14" s="1"/>
  <c r="R89" i="14"/>
  <c r="AE89" i="14" s="1"/>
  <c r="AG57" i="2"/>
  <c r="AI96" i="2"/>
  <c r="AI83" i="2"/>
  <c r="AG83" i="2"/>
  <c r="AI20" i="2"/>
  <c r="AD102" i="14" l="1"/>
  <c r="AE102" i="14" s="1"/>
  <c r="R88" i="14"/>
  <c r="AE88" i="14" s="1"/>
  <c r="AD37" i="2"/>
  <c r="R20" i="13"/>
  <c r="AE20" i="13" s="1"/>
  <c r="AE69" i="2"/>
  <c r="AB42" i="2"/>
  <c r="AF42" i="2" s="1"/>
  <c r="AG42" i="2" s="1"/>
  <c r="N35" i="13"/>
  <c r="L80" i="13"/>
  <c r="AD12" i="60"/>
  <c r="AE12" i="60" s="1"/>
  <c r="T55" i="60"/>
  <c r="AD59" i="60"/>
  <c r="AE59" i="60" s="1"/>
  <c r="N68" i="60"/>
  <c r="R115" i="60"/>
  <c r="AE115" i="60" s="1"/>
  <c r="R118" i="60"/>
  <c r="AE118" i="60" s="1"/>
  <c r="AC124" i="60"/>
  <c r="AD123" i="60"/>
  <c r="AE123" i="60" s="1"/>
  <c r="R18" i="59"/>
  <c r="AD21" i="59"/>
  <c r="AE21" i="59" s="1"/>
  <c r="AD28" i="59"/>
  <c r="AE28" i="59" s="1"/>
  <c r="AD34" i="59"/>
  <c r="AE34" i="59" s="1"/>
  <c r="R44" i="59"/>
  <c r="AE44" i="59" s="1"/>
  <c r="Z55" i="59"/>
  <c r="AD51" i="59"/>
  <c r="AE51" i="59" s="1"/>
  <c r="AD70" i="59"/>
  <c r="AD75" i="59" s="1"/>
  <c r="R73" i="59"/>
  <c r="AE73" i="59" s="1"/>
  <c r="AD80" i="59"/>
  <c r="AE80" i="59" s="1"/>
  <c r="AD91" i="59"/>
  <c r="AE91" i="59" s="1"/>
  <c r="AD108" i="59"/>
  <c r="AE108" i="59" s="1"/>
  <c r="R113" i="59"/>
  <c r="AE113" i="59" s="1"/>
  <c r="L124" i="59"/>
  <c r="R121" i="59"/>
  <c r="AE121" i="59" s="1"/>
  <c r="AD82" i="59"/>
  <c r="AE82" i="59" s="1"/>
  <c r="AD95" i="14"/>
  <c r="AE95" i="14" s="1"/>
  <c r="R24" i="13"/>
  <c r="AE24" i="13" s="1"/>
  <c r="R39" i="14"/>
  <c r="AE39" i="14" s="1"/>
  <c r="AD70" i="60"/>
  <c r="AE70" i="60" s="1"/>
  <c r="T86" i="60"/>
  <c r="AA86" i="60"/>
  <c r="AD88" i="60"/>
  <c r="AE88" i="60" s="1"/>
  <c r="R101" i="60"/>
  <c r="AE101" i="60" s="1"/>
  <c r="P109" i="60"/>
  <c r="AB125" i="60"/>
  <c r="AD118" i="14"/>
  <c r="R45" i="13"/>
  <c r="AE45" i="13" s="1"/>
  <c r="AA29" i="13"/>
  <c r="T27" i="14"/>
  <c r="AD35" i="60"/>
  <c r="AE35" i="60" s="1"/>
  <c r="AD57" i="60"/>
  <c r="AE57" i="60" s="1"/>
  <c r="AE60" i="60" s="1"/>
  <c r="R64" i="60"/>
  <c r="AE64" i="60" s="1"/>
  <c r="L124" i="60"/>
  <c r="T13" i="59"/>
  <c r="P22" i="59"/>
  <c r="J36" i="59"/>
  <c r="L46" i="59"/>
  <c r="J46" i="59"/>
  <c r="J75" i="59"/>
  <c r="AA86" i="59"/>
  <c r="X96" i="59"/>
  <c r="AA96" i="59"/>
  <c r="P124" i="59"/>
  <c r="AF17" i="2"/>
  <c r="AI17" i="2" s="1"/>
  <c r="AE37" i="2"/>
  <c r="AD46" i="60"/>
  <c r="X86" i="60"/>
  <c r="AA96" i="60"/>
  <c r="J109" i="60"/>
  <c r="AC109" i="60"/>
  <c r="AD34" i="13"/>
  <c r="AE34" i="13" s="1"/>
  <c r="AC109" i="59"/>
  <c r="AD30" i="60"/>
  <c r="AE30" i="60" s="1"/>
  <c r="Z36" i="60"/>
  <c r="X46" i="60"/>
  <c r="AD43" i="60"/>
  <c r="AE43" i="60" s="1"/>
  <c r="J55" i="60"/>
  <c r="X60" i="60"/>
  <c r="P68" i="60"/>
  <c r="X68" i="60"/>
  <c r="P55" i="59"/>
  <c r="AD70" i="70"/>
  <c r="AB71" i="2"/>
  <c r="AD85" i="59"/>
  <c r="AE85" i="59" s="1"/>
  <c r="R10" i="60"/>
  <c r="AE10" i="60" s="1"/>
  <c r="V22" i="60"/>
  <c r="AD17" i="60"/>
  <c r="AE17" i="60" s="1"/>
  <c r="AD47" i="13"/>
  <c r="AE47" i="13" s="1"/>
  <c r="AE15" i="13"/>
  <c r="X15" i="14"/>
  <c r="R21" i="14"/>
  <c r="AE21" i="14" s="1"/>
  <c r="N27" i="14"/>
  <c r="L45" i="14"/>
  <c r="AD44" i="14"/>
  <c r="AE44" i="14" s="1"/>
  <c r="J55" i="14"/>
  <c r="R50" i="14"/>
  <c r="AE50" i="14" s="1"/>
  <c r="AE53" i="14"/>
  <c r="N66" i="14"/>
  <c r="L66" i="14"/>
  <c r="R70" i="14"/>
  <c r="AE70" i="14" s="1"/>
  <c r="J86" i="14"/>
  <c r="T86" i="14"/>
  <c r="R107" i="14"/>
  <c r="AE107" i="14" s="1"/>
  <c r="L118" i="14"/>
  <c r="R121" i="14"/>
  <c r="AE121" i="14" s="1"/>
  <c r="AD100" i="60"/>
  <c r="AE100" i="60" s="1"/>
  <c r="V109" i="59"/>
  <c r="X36" i="60"/>
  <c r="R105" i="14"/>
  <c r="AE105" i="14" s="1"/>
  <c r="J12" i="13"/>
  <c r="AE19" i="13"/>
  <c r="R37" i="13"/>
  <c r="AE37" i="13" s="1"/>
  <c r="R54" i="13"/>
  <c r="AE54" i="13" s="1"/>
  <c r="J62" i="13"/>
  <c r="J71" i="13"/>
  <c r="R68" i="13"/>
  <c r="AE68" i="13" s="1"/>
  <c r="J80" i="13"/>
  <c r="X92" i="13"/>
  <c r="J99" i="13"/>
  <c r="Z15" i="14"/>
  <c r="V15" i="14"/>
  <c r="L86" i="14"/>
  <c r="Z22" i="60"/>
  <c r="J36" i="60"/>
  <c r="AD28" i="60"/>
  <c r="AB97" i="2"/>
  <c r="AF97" i="2" s="1"/>
  <c r="AG97" i="2" s="1"/>
  <c r="V27" i="14"/>
  <c r="AD22" i="14"/>
  <c r="AE22" i="14" s="1"/>
  <c r="AE32" i="14"/>
  <c r="J45" i="14"/>
  <c r="P45" i="14"/>
  <c r="AE41" i="14"/>
  <c r="X45" i="14"/>
  <c r="N55" i="14"/>
  <c r="R51" i="14"/>
  <c r="AE51" i="14" s="1"/>
  <c r="AE54" i="14"/>
  <c r="R58" i="14"/>
  <c r="AE58" i="14" s="1"/>
  <c r="P66" i="14"/>
  <c r="R63" i="14"/>
  <c r="AE63" i="14" s="1"/>
  <c r="X78" i="14"/>
  <c r="N86" i="14"/>
  <c r="AD93" i="14"/>
  <c r="R97" i="14"/>
  <c r="AE97" i="14" s="1"/>
  <c r="R111" i="14"/>
  <c r="AE111" i="14" s="1"/>
  <c r="P118" i="14"/>
  <c r="R41" i="60"/>
  <c r="AE41" i="60" s="1"/>
  <c r="AH15" i="2"/>
  <c r="AI15" i="2" s="1"/>
  <c r="AF77" i="2"/>
  <c r="AI77" i="2" s="1"/>
  <c r="R17" i="13"/>
  <c r="AE17" i="13" s="1"/>
  <c r="R51" i="13"/>
  <c r="AE51" i="13" s="1"/>
  <c r="AA92" i="13"/>
  <c r="AD10" i="14"/>
  <c r="AE10" i="14" s="1"/>
  <c r="R13" i="14"/>
  <c r="AE13" i="14" s="1"/>
  <c r="R17" i="14"/>
  <c r="AE17" i="14" s="1"/>
  <c r="L46" i="60"/>
  <c r="T75" i="60"/>
  <c r="R22" i="59"/>
  <c r="AE18" i="59"/>
  <c r="AE22" i="59" s="1"/>
  <c r="AG98" i="2"/>
  <c r="AI98" i="2"/>
  <c r="AE78" i="59"/>
  <c r="AD86" i="59"/>
  <c r="AE74" i="60"/>
  <c r="R8" i="60"/>
  <c r="AE8" i="60" s="1"/>
  <c r="AE28" i="60"/>
  <c r="AD36" i="60"/>
  <c r="AD109" i="59"/>
  <c r="AG77" i="2"/>
  <c r="AD50" i="60"/>
  <c r="AE50" i="60" s="1"/>
  <c r="R80" i="14"/>
  <c r="AE80" i="14" s="1"/>
  <c r="R57" i="14"/>
  <c r="AE57" i="14" s="1"/>
  <c r="R58" i="13"/>
  <c r="AE58" i="13" s="1"/>
  <c r="L56" i="13"/>
  <c r="AF53" i="2"/>
  <c r="AD97" i="13"/>
  <c r="AE97" i="13" s="1"/>
  <c r="R24" i="14"/>
  <c r="AE24" i="14" s="1"/>
  <c r="AE47" i="2"/>
  <c r="AF47" i="2" s="1"/>
  <c r="L55" i="14"/>
  <c r="R55" i="14" s="1"/>
  <c r="L83" i="2"/>
  <c r="P22" i="13"/>
  <c r="R22" i="13" s="1"/>
  <c r="AD46" i="2"/>
  <c r="M79" i="2"/>
  <c r="AD62" i="13"/>
  <c r="AD32" i="60"/>
  <c r="AE32" i="60" s="1"/>
  <c r="AD67" i="60"/>
  <c r="AE67" i="60" s="1"/>
  <c r="AD103" i="59"/>
  <c r="AE103" i="59" s="1"/>
  <c r="J68" i="59"/>
  <c r="R88" i="70"/>
  <c r="AA127" i="70"/>
  <c r="AE19" i="14"/>
  <c r="AD78" i="60"/>
  <c r="X75" i="59"/>
  <c r="R71" i="60"/>
  <c r="AE40" i="60"/>
  <c r="AD88" i="59"/>
  <c r="AE88" i="59" s="1"/>
  <c r="V13" i="59"/>
  <c r="R39" i="59"/>
  <c r="AE39" i="59" s="1"/>
  <c r="R10" i="13"/>
  <c r="AE10" i="13" s="1"/>
  <c r="AD78" i="13"/>
  <c r="AE78" i="13" s="1"/>
  <c r="Z55" i="14"/>
  <c r="AH47" i="2"/>
  <c r="AI40" i="2"/>
  <c r="AD71" i="13"/>
  <c r="J66" i="14"/>
  <c r="O74" i="2"/>
  <c r="AH33" i="2"/>
  <c r="R48" i="14"/>
  <c r="AE48" i="14" s="1"/>
  <c r="L84" i="2"/>
  <c r="AF36" i="2"/>
  <c r="L35" i="13"/>
  <c r="AD86" i="13"/>
  <c r="AE86" i="13" s="1"/>
  <c r="AD68" i="60"/>
  <c r="T96" i="60"/>
  <c r="AA55" i="59"/>
  <c r="L75" i="59"/>
  <c r="R116" i="59"/>
  <c r="AE116" i="59" s="1"/>
  <c r="L22" i="59"/>
  <c r="V13" i="60"/>
  <c r="R99" i="59"/>
  <c r="AE99" i="59" s="1"/>
  <c r="J27" i="14"/>
  <c r="AD100" i="14"/>
  <c r="R117" i="14"/>
  <c r="AE117" i="14" s="1"/>
  <c r="J56" i="13"/>
  <c r="R14" i="13"/>
  <c r="AE14" i="13" s="1"/>
  <c r="N74" i="2"/>
  <c r="AE56" i="2"/>
  <c r="AF56" i="2" s="1"/>
  <c r="AB33" i="2"/>
  <c r="P55" i="14"/>
  <c r="R75" i="13"/>
  <c r="T36" i="60"/>
  <c r="AD26" i="59"/>
  <c r="Z13" i="59"/>
  <c r="AB56" i="2"/>
  <c r="AH22" i="2"/>
  <c r="R29" i="13"/>
  <c r="L74" i="2"/>
  <c r="AD70" i="13"/>
  <c r="AE70" i="13" s="1"/>
  <c r="AH60" i="2"/>
  <c r="Z36" i="59"/>
  <c r="AA13" i="59"/>
  <c r="J78" i="14"/>
  <c r="AD88" i="13"/>
  <c r="AE88" i="13" s="1"/>
  <c r="AF37" i="2"/>
  <c r="AG37" i="2" s="1"/>
  <c r="R115" i="14"/>
  <c r="AE115" i="14" s="1"/>
  <c r="AD99" i="14"/>
  <c r="AE99" i="14" s="1"/>
  <c r="AE52" i="2"/>
  <c r="AD61" i="13"/>
  <c r="AE61" i="13" s="1"/>
  <c r="AE42" i="13"/>
  <c r="AD99" i="13"/>
  <c r="BK35" i="42"/>
  <c r="AB52" i="2"/>
  <c r="AF55" i="2"/>
  <c r="AF31" i="2"/>
  <c r="AB22" i="2"/>
  <c r="AF22" i="2" s="1"/>
  <c r="AH73" i="2"/>
  <c r="AE38" i="2"/>
  <c r="AD77" i="13"/>
  <c r="AB95" i="2"/>
  <c r="AF95" i="2" s="1"/>
  <c r="Z86" i="14"/>
  <c r="AE100" i="59"/>
  <c r="AD80" i="60"/>
  <c r="AE80" i="60" s="1"/>
  <c r="L36" i="60"/>
  <c r="L125" i="60" s="1"/>
  <c r="Z124" i="60"/>
  <c r="AD48" i="59"/>
  <c r="AE48" i="59" s="1"/>
  <c r="R27" i="59"/>
  <c r="AE27" i="59" s="1"/>
  <c r="AB93" i="2"/>
  <c r="AF93" i="2" s="1"/>
  <c r="AF28" i="2"/>
  <c r="AI28" i="2" s="1"/>
  <c r="AB89" i="2"/>
  <c r="AD32" i="14"/>
  <c r="R95" i="13"/>
  <c r="AE95" i="13" s="1"/>
  <c r="AF88" i="2"/>
  <c r="AG88" i="2" s="1"/>
  <c r="AH51" i="2"/>
  <c r="AH21" i="2"/>
  <c r="AB73" i="2"/>
  <c r="AF73" i="2" s="1"/>
  <c r="AD85" i="14"/>
  <c r="AE85" i="14" s="1"/>
  <c r="AB29" i="2"/>
  <c r="AB39" i="2"/>
  <c r="AF39" i="2" s="1"/>
  <c r="AG39" i="2" s="1"/>
  <c r="L92" i="13"/>
  <c r="AD6" i="59"/>
  <c r="AE6" i="59" s="1"/>
  <c r="AA75" i="60"/>
  <c r="J86" i="60"/>
  <c r="J125" i="60" s="1"/>
  <c r="T60" i="60"/>
  <c r="R104" i="14"/>
  <c r="AE104" i="14" s="1"/>
  <c r="AD83" i="14"/>
  <c r="AE83" i="14" s="1"/>
  <c r="AH74" i="2"/>
  <c r="AD51" i="2"/>
  <c r="AF51" i="2" s="1"/>
  <c r="AH27" i="2"/>
  <c r="AB21" i="2"/>
  <c r="U35" i="42"/>
  <c r="AB60" i="2"/>
  <c r="AF60" i="2" s="1"/>
  <c r="O89" i="2"/>
  <c r="AD9" i="14"/>
  <c r="AE9" i="14" s="1"/>
  <c r="AD15" i="60"/>
  <c r="AE15" i="60" s="1"/>
  <c r="AD114" i="59"/>
  <c r="AE114" i="59" s="1"/>
  <c r="R66" i="60"/>
  <c r="AE66" i="60" s="1"/>
  <c r="AE68" i="60" s="1"/>
  <c r="P13" i="59"/>
  <c r="AH46" i="2"/>
  <c r="AD63" i="59"/>
  <c r="L13" i="60"/>
  <c r="AB94" i="2"/>
  <c r="AF94" i="2" s="1"/>
  <c r="R33" i="13"/>
  <c r="AE33" i="13" s="1"/>
  <c r="R29" i="14"/>
  <c r="AE29" i="14" s="1"/>
  <c r="AH93" i="2"/>
  <c r="AH94" i="2"/>
  <c r="AB74" i="2"/>
  <c r="AB27" i="2"/>
  <c r="AH89" i="2"/>
  <c r="P122" i="14"/>
  <c r="AD109" i="60"/>
  <c r="AD22" i="59"/>
  <c r="P13" i="60"/>
  <c r="V55" i="59"/>
  <c r="J86" i="59"/>
  <c r="R35" i="13"/>
  <c r="AE35" i="13" s="1"/>
  <c r="AB65" i="2"/>
  <c r="R86" i="14"/>
  <c r="R34" i="14"/>
  <c r="K99" i="2"/>
  <c r="L113" i="14"/>
  <c r="R113" i="14" s="1"/>
  <c r="H13" i="6"/>
  <c r="I13" i="6" s="1"/>
  <c r="L13" i="6" s="1"/>
  <c r="L14" i="6" s="1"/>
  <c r="K13" i="6"/>
  <c r="C35" i="1"/>
  <c r="N55" i="60"/>
  <c r="R52" i="60"/>
  <c r="AE52" i="60" s="1"/>
  <c r="AG84" i="2"/>
  <c r="AI84" i="2"/>
  <c r="AI95" i="2"/>
  <c r="AG95" i="2"/>
  <c r="AH67" i="2"/>
  <c r="O91" i="2"/>
  <c r="AB58" i="2"/>
  <c r="AF58" i="2" s="1"/>
  <c r="AI58" i="2" s="1"/>
  <c r="N118" i="14"/>
  <c r="R118" i="14" s="1"/>
  <c r="AE118" i="14" s="1"/>
  <c r="AA124" i="59"/>
  <c r="T56" i="13"/>
  <c r="AD56" i="13" s="1"/>
  <c r="P80" i="13"/>
  <c r="N78" i="14"/>
  <c r="AB54" i="2"/>
  <c r="AF35" i="2"/>
  <c r="AG35" i="2" s="1"/>
  <c r="V55" i="60"/>
  <c r="L75" i="60"/>
  <c r="R112" i="59"/>
  <c r="AF71" i="2"/>
  <c r="BU20" i="42"/>
  <c r="BV20" i="42" s="1"/>
  <c r="V66" i="14"/>
  <c r="AD66" i="14" s="1"/>
  <c r="P93" i="14"/>
  <c r="J122" i="14"/>
  <c r="V78" i="14"/>
  <c r="L122" i="14"/>
  <c r="R49" i="13"/>
  <c r="AB25" i="2"/>
  <c r="AF25" i="2" s="1"/>
  <c r="AI97" i="2"/>
  <c r="AE76" i="2"/>
  <c r="AF76" i="2" s="1"/>
  <c r="L43" i="13"/>
  <c r="P71" i="13"/>
  <c r="N99" i="13"/>
  <c r="N122" i="14"/>
  <c r="R31" i="59"/>
  <c r="AE31" i="59" s="1"/>
  <c r="AF74" i="2"/>
  <c r="AI74" i="2" s="1"/>
  <c r="AH76" i="2"/>
  <c r="Z29" i="13"/>
  <c r="P86" i="59"/>
  <c r="AB67" i="2"/>
  <c r="P43" i="13"/>
  <c r="L12" i="13"/>
  <c r="AD35" i="13"/>
  <c r="P62" i="13"/>
  <c r="AF32" i="2"/>
  <c r="AI32" i="2" s="1"/>
  <c r="X86" i="59"/>
  <c r="O87" i="2"/>
  <c r="AF87" i="2" s="1"/>
  <c r="AG87" i="2" s="1"/>
  <c r="P78" i="14"/>
  <c r="N100" i="14"/>
  <c r="AB91" i="2"/>
  <c r="AB49" i="2"/>
  <c r="N104" i="13"/>
  <c r="P96" i="59"/>
  <c r="T34" i="14"/>
  <c r="AD30" i="14"/>
  <c r="AE30" i="14" s="1"/>
  <c r="AG55" i="2"/>
  <c r="AI55" i="2"/>
  <c r="AD26" i="13"/>
  <c r="AE26" i="13" s="1"/>
  <c r="T29" i="13"/>
  <c r="AF33" i="2"/>
  <c r="AG33" i="2" s="1"/>
  <c r="AI37" i="2"/>
  <c r="V92" i="13"/>
  <c r="AA45" i="14"/>
  <c r="AD45" i="14" s="1"/>
  <c r="V125" i="60"/>
  <c r="AD95" i="60"/>
  <c r="AE95" i="60" s="1"/>
  <c r="R112" i="60"/>
  <c r="AE112" i="60" s="1"/>
  <c r="AD54" i="59"/>
  <c r="X60" i="59"/>
  <c r="P68" i="59"/>
  <c r="P125" i="59" s="1"/>
  <c r="Z75" i="59"/>
  <c r="Z125" i="59" s="1"/>
  <c r="N96" i="59"/>
  <c r="R94" i="59"/>
  <c r="AE94" i="59" s="1"/>
  <c r="R122" i="59"/>
  <c r="AE122" i="59" s="1"/>
  <c r="AF43" i="2"/>
  <c r="AG43" i="2" s="1"/>
  <c r="AI24" i="2"/>
  <c r="AB38" i="2"/>
  <c r="AF38" i="2" s="1"/>
  <c r="AH49" i="2"/>
  <c r="AB44" i="2"/>
  <c r="AF44" i="2" s="1"/>
  <c r="AE49" i="2"/>
  <c r="AF49" i="2" s="1"/>
  <c r="BU24" i="42"/>
  <c r="BV24" i="42" s="1"/>
  <c r="BU32" i="42"/>
  <c r="BV32" i="42" s="1"/>
  <c r="AD98" i="13"/>
  <c r="AE98" i="13" s="1"/>
  <c r="L15" i="14"/>
  <c r="R25" i="14"/>
  <c r="AE25" i="14" s="1"/>
  <c r="R116" i="60"/>
  <c r="AE116" i="60" s="1"/>
  <c r="AD120" i="60"/>
  <c r="AF50" i="2"/>
  <c r="Z34" i="14"/>
  <c r="R39" i="60"/>
  <c r="AE39" i="60" s="1"/>
  <c r="N96" i="60"/>
  <c r="T22" i="59"/>
  <c r="R38" i="59"/>
  <c r="AE38" i="59" s="1"/>
  <c r="R52" i="59"/>
  <c r="AE52" i="59" s="1"/>
  <c r="AD57" i="59"/>
  <c r="AE57" i="59" s="1"/>
  <c r="AD58" i="59"/>
  <c r="R90" i="59"/>
  <c r="AE90" i="59" s="1"/>
  <c r="R105" i="59"/>
  <c r="AE105" i="59" s="1"/>
  <c r="AD123" i="59"/>
  <c r="AC86" i="59"/>
  <c r="AF70" i="2"/>
  <c r="AE18" i="2"/>
  <c r="AF18" i="2" s="1"/>
  <c r="AF23" i="2"/>
  <c r="AI23" i="2" s="1"/>
  <c r="AF46" i="2"/>
  <c r="AI46" i="2" s="1"/>
  <c r="BU33" i="42"/>
  <c r="BV33" i="42" s="1"/>
  <c r="X27" i="14"/>
  <c r="P22" i="60"/>
  <c r="R38" i="60"/>
  <c r="AE38" i="60" s="1"/>
  <c r="AD59" i="59"/>
  <c r="AE59" i="59" s="1"/>
  <c r="AD95" i="59"/>
  <c r="AG34" i="2"/>
  <c r="AI34" i="2"/>
  <c r="AG31" i="2"/>
  <c r="AI31" i="2"/>
  <c r="AG71" i="2"/>
  <c r="AI71" i="2"/>
  <c r="AI30" i="2"/>
  <c r="AG30" i="2"/>
  <c r="AI72" i="2"/>
  <c r="AG72" i="2"/>
  <c r="AG17" i="2"/>
  <c r="AF79" i="2"/>
  <c r="AF65" i="2"/>
  <c r="AI65" i="2" s="1"/>
  <c r="AF67" i="2"/>
  <c r="AI67" i="2" s="1"/>
  <c r="AE71" i="60"/>
  <c r="AF86" i="2"/>
  <c r="AB18" i="2"/>
  <c r="W99" i="2"/>
  <c r="AF29" i="2"/>
  <c r="AB69" i="2"/>
  <c r="AF75" i="2"/>
  <c r="AG75" i="2" s="1"/>
  <c r="AF85" i="2"/>
  <c r="L96" i="60"/>
  <c r="R94" i="60"/>
  <c r="AE94" i="60" s="1"/>
  <c r="L96" i="59"/>
  <c r="R89" i="59"/>
  <c r="AE112" i="59"/>
  <c r="BU21" i="42"/>
  <c r="BV21" i="42" s="1"/>
  <c r="N13" i="60"/>
  <c r="AD9" i="60"/>
  <c r="AE9" i="60" s="1"/>
  <c r="AA13" i="60"/>
  <c r="AA125" i="60" s="1"/>
  <c r="R20" i="60"/>
  <c r="AE20" i="60" s="1"/>
  <c r="AD21" i="60"/>
  <c r="AE21" i="60" s="1"/>
  <c r="N36" i="60"/>
  <c r="L68" i="60"/>
  <c r="R73" i="60"/>
  <c r="AE73" i="60" s="1"/>
  <c r="R83" i="60"/>
  <c r="AE83" i="60" s="1"/>
  <c r="AD93" i="60"/>
  <c r="AE93" i="60" s="1"/>
  <c r="R104" i="60"/>
  <c r="R107" i="60"/>
  <c r="AE107" i="60" s="1"/>
  <c r="R122" i="60"/>
  <c r="AE122" i="60" s="1"/>
  <c r="R25" i="59"/>
  <c r="R29" i="59"/>
  <c r="AE29" i="59" s="1"/>
  <c r="R102" i="59"/>
  <c r="AE102" i="59" s="1"/>
  <c r="R118" i="59"/>
  <c r="AE118" i="59" s="1"/>
  <c r="BU22" i="42"/>
  <c r="BV22" i="42" s="1"/>
  <c r="BU23" i="42"/>
  <c r="BV23" i="42" s="1"/>
  <c r="N71" i="13"/>
  <c r="L71" i="13"/>
  <c r="AD91" i="13"/>
  <c r="AE91" i="13" s="1"/>
  <c r="N93" i="14"/>
  <c r="F15" i="7"/>
  <c r="X22" i="60"/>
  <c r="L22" i="60"/>
  <c r="R31" i="60"/>
  <c r="AE31" i="60" s="1"/>
  <c r="R79" i="60"/>
  <c r="AE79" i="60" s="1"/>
  <c r="L109" i="60"/>
  <c r="AC125" i="60"/>
  <c r="R113" i="60"/>
  <c r="AE113" i="60" s="1"/>
  <c r="R8" i="59"/>
  <c r="AE8" i="59" s="1"/>
  <c r="R41" i="59"/>
  <c r="AE41" i="59" s="1"/>
  <c r="N55" i="59"/>
  <c r="R111" i="59"/>
  <c r="AE111" i="59" s="1"/>
  <c r="R115" i="59"/>
  <c r="AE115" i="59" s="1"/>
  <c r="AG26" i="2"/>
  <c r="AI26" i="2"/>
  <c r="AG22" i="2"/>
  <c r="AI22" i="2"/>
  <c r="AI29" i="2"/>
  <c r="AG29" i="2"/>
  <c r="AI75" i="2"/>
  <c r="AG94" i="2"/>
  <c r="AI94" i="2"/>
  <c r="AF21" i="2"/>
  <c r="N99" i="2"/>
  <c r="AF62" i="2"/>
  <c r="AI50" i="2"/>
  <c r="AG50" i="2"/>
  <c r="AG85" i="2"/>
  <c r="AI85" i="2"/>
  <c r="BT35" i="42"/>
  <c r="BU18" i="42"/>
  <c r="AG28" i="2"/>
  <c r="AG82" i="2"/>
  <c r="R45" i="14"/>
  <c r="AF92" i="2"/>
  <c r="AF80" i="2"/>
  <c r="AF27" i="2"/>
  <c r="J28" i="1"/>
  <c r="AF48" i="2"/>
  <c r="BU30" i="42"/>
  <c r="BV30" i="42" s="1"/>
  <c r="Z113" i="14"/>
  <c r="AF81" i="2"/>
  <c r="AF61" i="2"/>
  <c r="AF15" i="2"/>
  <c r="AI39" i="2"/>
  <c r="AF66" i="2"/>
  <c r="AI66" i="2" s="1"/>
  <c r="AF45" i="2"/>
  <c r="AI45" i="2" s="1"/>
  <c r="AF59" i="2"/>
  <c r="AI88" i="2"/>
  <c r="AD43" i="13"/>
  <c r="AF78" i="2"/>
  <c r="BU25" i="42"/>
  <c r="BV25" i="42" s="1"/>
  <c r="BU27" i="42"/>
  <c r="BV27" i="42" s="1"/>
  <c r="BU29" i="42"/>
  <c r="BV29" i="42" s="1"/>
  <c r="AD86" i="14"/>
  <c r="AD27" i="14"/>
  <c r="L99" i="2"/>
  <c r="AI42" i="2"/>
  <c r="AI33" i="2"/>
  <c r="AI68" i="2"/>
  <c r="R93" i="14"/>
  <c r="AE93" i="14" s="1"/>
  <c r="AI64" i="2"/>
  <c r="AF63" i="2"/>
  <c r="AF69" i="2"/>
  <c r="AI69" i="2" s="1"/>
  <c r="BU34" i="42"/>
  <c r="BV34" i="42" s="1"/>
  <c r="P12" i="13"/>
  <c r="R12" i="13" s="1"/>
  <c r="L100" i="14"/>
  <c r="R100" i="14" s="1"/>
  <c r="AD12" i="13"/>
  <c r="AD49" i="13"/>
  <c r="AE49" i="13" s="1"/>
  <c r="T15" i="14"/>
  <c r="AD15" i="14" s="1"/>
  <c r="AD18" i="14"/>
  <c r="AE18" i="14" s="1"/>
  <c r="AE26" i="14"/>
  <c r="AD108" i="14"/>
  <c r="AE108" i="14" s="1"/>
  <c r="F16" i="7"/>
  <c r="L86" i="60"/>
  <c r="R77" i="60"/>
  <c r="P92" i="13"/>
  <c r="R92" i="13" s="1"/>
  <c r="P99" i="13"/>
  <c r="R99" i="13" s="1"/>
  <c r="AE99" i="13" s="1"/>
  <c r="R18" i="60"/>
  <c r="N22" i="60"/>
  <c r="R7" i="59"/>
  <c r="N13" i="59"/>
  <c r="AE58" i="59"/>
  <c r="AE60" i="59" s="1"/>
  <c r="AD60" i="59"/>
  <c r="L86" i="59"/>
  <c r="R77" i="59"/>
  <c r="R79" i="59"/>
  <c r="AE79" i="59" s="1"/>
  <c r="AD21" i="13"/>
  <c r="V29" i="13"/>
  <c r="AE27" i="13"/>
  <c r="L62" i="13"/>
  <c r="R62" i="13" s="1"/>
  <c r="AE62" i="13" s="1"/>
  <c r="R101" i="13"/>
  <c r="AE101" i="13" s="1"/>
  <c r="J15" i="14"/>
  <c r="R15" i="14" s="1"/>
  <c r="P27" i="14"/>
  <c r="R27" i="14" s="1"/>
  <c r="V34" i="14"/>
  <c r="AD34" i="14" s="1"/>
  <c r="AE34" i="14" s="1"/>
  <c r="T55" i="14"/>
  <c r="AD55" i="14" s="1"/>
  <c r="L78" i="14"/>
  <c r="R78" i="14" s="1"/>
  <c r="AD72" i="14"/>
  <c r="AE72" i="14" s="1"/>
  <c r="AD110" i="14"/>
  <c r="AE110" i="14" s="1"/>
  <c r="N46" i="60"/>
  <c r="R42" i="60"/>
  <c r="N75" i="59"/>
  <c r="R71" i="59"/>
  <c r="AC125" i="59"/>
  <c r="AD11" i="60"/>
  <c r="R25" i="60"/>
  <c r="AE25" i="60" s="1"/>
  <c r="Z55" i="60"/>
  <c r="R53" i="60"/>
  <c r="N75" i="60"/>
  <c r="N86" i="60"/>
  <c r="R10" i="59"/>
  <c r="AE10" i="59" s="1"/>
  <c r="N46" i="59"/>
  <c r="R53" i="59"/>
  <c r="N109" i="59"/>
  <c r="N124" i="59"/>
  <c r="AD19" i="60"/>
  <c r="AD54" i="60"/>
  <c r="P96" i="60"/>
  <c r="P125" i="60" s="1"/>
  <c r="AD91" i="60"/>
  <c r="R119" i="60"/>
  <c r="T86" i="59"/>
  <c r="T125" i="59" s="1"/>
  <c r="R98" i="59"/>
  <c r="AE98" i="59" s="1"/>
  <c r="AM111" i="59" s="1"/>
  <c r="R29" i="60"/>
  <c r="AE29" i="60" s="1"/>
  <c r="R98" i="60"/>
  <c r="AE98" i="60" s="1"/>
  <c r="AD9" i="59"/>
  <c r="X22" i="59"/>
  <c r="X125" i="59" s="1"/>
  <c r="AD45" i="59"/>
  <c r="AA60" i="59"/>
  <c r="R104" i="59"/>
  <c r="R7" i="60"/>
  <c r="R24" i="60"/>
  <c r="N36" i="59"/>
  <c r="AD88" i="70"/>
  <c r="AG81" i="2"/>
  <c r="AI81" i="2"/>
  <c r="AG86" i="2"/>
  <c r="AI86" i="2"/>
  <c r="AI79" i="2"/>
  <c r="AG79" i="2"/>
  <c r="AG15" i="2"/>
  <c r="AE86" i="14"/>
  <c r="AI90" i="2"/>
  <c r="AG90" i="2"/>
  <c r="AG92" i="2"/>
  <c r="AI92" i="2"/>
  <c r="AG80" i="2"/>
  <c r="AI80" i="2"/>
  <c r="T22" i="13"/>
  <c r="AD22" i="13" s="1"/>
  <c r="AE22" i="13" s="1"/>
  <c r="AD18" i="13"/>
  <c r="AE18" i="13" s="1"/>
  <c r="T92" i="13"/>
  <c r="AD92" i="13" s="1"/>
  <c r="AD90" i="13"/>
  <c r="AE90" i="13" s="1"/>
  <c r="T113" i="14"/>
  <c r="AD113" i="14" s="1"/>
  <c r="AD12" i="14"/>
  <c r="AE12" i="14" s="1"/>
  <c r="AE21" i="13"/>
  <c r="AF41" i="2"/>
  <c r="AD25" i="13"/>
  <c r="AE25" i="13" s="1"/>
  <c r="AG66" i="2"/>
  <c r="AG45" i="2"/>
  <c r="AF54" i="2"/>
  <c r="M99" i="2"/>
  <c r="BJ35" i="42"/>
  <c r="P104" i="13"/>
  <c r="R102" i="13"/>
  <c r="AE102" i="13" s="1"/>
  <c r="AE104" i="13" s="1"/>
  <c r="AD31" i="14"/>
  <c r="AE31" i="14" s="1"/>
  <c r="T78" i="14"/>
  <c r="AD78" i="14" s="1"/>
  <c r="AH16" i="2"/>
  <c r="AB16" i="2"/>
  <c r="AF16" i="2" s="1"/>
  <c r="AE19" i="2"/>
  <c r="N109" i="60"/>
  <c r="N124" i="60"/>
  <c r="L68" i="59"/>
  <c r="L125" i="59" s="1"/>
  <c r="R66" i="59"/>
  <c r="N86" i="59"/>
  <c r="R90" i="60"/>
  <c r="J127" i="70"/>
  <c r="AE100" i="70"/>
  <c r="R111" i="70"/>
  <c r="T127" i="70"/>
  <c r="P127" i="70"/>
  <c r="AE113" i="70"/>
  <c r="R126" i="70"/>
  <c r="N15" i="70"/>
  <c r="N127" i="70" s="1"/>
  <c r="H9" i="6"/>
  <c r="I9" i="6" s="1"/>
  <c r="L9" i="6" s="1"/>
  <c r="J16" i="6"/>
  <c r="Z127" i="70"/>
  <c r="X127" i="70"/>
  <c r="V127" i="70"/>
  <c r="AD38" i="70"/>
  <c r="AE28" i="70"/>
  <c r="AE114" i="70"/>
  <c r="AE73" i="70"/>
  <c r="R77" i="70"/>
  <c r="AD48" i="70"/>
  <c r="AE42" i="70"/>
  <c r="R38" i="70"/>
  <c r="AE26" i="70"/>
  <c r="AD15" i="70"/>
  <c r="AE8" i="70"/>
  <c r="R98" i="70"/>
  <c r="AE91" i="70"/>
  <c r="AE17" i="70"/>
  <c r="AD24" i="70"/>
  <c r="AE66" i="70"/>
  <c r="AE70" i="70" s="1"/>
  <c r="R70" i="70"/>
  <c r="R48" i="70"/>
  <c r="AE40" i="70"/>
  <c r="AE48" i="70" s="1"/>
  <c r="AD98" i="70"/>
  <c r="AE90" i="70"/>
  <c r="AE80" i="70"/>
  <c r="AE88" i="70" s="1"/>
  <c r="AF88" i="70" s="1"/>
  <c r="AE59" i="70"/>
  <c r="AE62" i="70" s="1"/>
  <c r="AD62" i="70"/>
  <c r="AE72" i="70"/>
  <c r="AD77" i="70"/>
  <c r="AD126" i="70"/>
  <c r="AE116" i="70"/>
  <c r="AE101" i="70"/>
  <c r="AE50" i="70"/>
  <c r="AD57" i="70"/>
  <c r="R15" i="70"/>
  <c r="AE9" i="70"/>
  <c r="AE102" i="70"/>
  <c r="AD111" i="70"/>
  <c r="AE54" i="70"/>
  <c r="R57" i="70"/>
  <c r="L127" i="70"/>
  <c r="AE20" i="70"/>
  <c r="R24" i="70"/>
  <c r="C21" i="1"/>
  <c r="J17" i="6"/>
  <c r="AG51" i="2" l="1"/>
  <c r="AI51" i="2"/>
  <c r="AG56" i="2"/>
  <c r="AI56" i="2"/>
  <c r="AH99" i="2"/>
  <c r="AD29" i="13"/>
  <c r="AE29" i="13" s="1"/>
  <c r="O99" i="2"/>
  <c r="J125" i="59"/>
  <c r="AG46" i="2"/>
  <c r="AD75" i="60"/>
  <c r="Z125" i="60"/>
  <c r="AG67" i="2"/>
  <c r="AE70" i="59"/>
  <c r="AA125" i="59"/>
  <c r="AE27" i="14"/>
  <c r="X125" i="60"/>
  <c r="T125" i="60"/>
  <c r="AG74" i="2"/>
  <c r="AD60" i="60"/>
  <c r="AG32" i="2"/>
  <c r="AD99" i="2"/>
  <c r="AG69" i="2"/>
  <c r="AI43" i="2"/>
  <c r="R66" i="14"/>
  <c r="AE66" i="14" s="1"/>
  <c r="AF52" i="2"/>
  <c r="AI52" i="2"/>
  <c r="AG52" i="2"/>
  <c r="AG73" i="2"/>
  <c r="AI73" i="2"/>
  <c r="AE63" i="59"/>
  <c r="AD68" i="59"/>
  <c r="AE78" i="60"/>
  <c r="AD86" i="60"/>
  <c r="R43" i="13"/>
  <c r="AG47" i="2"/>
  <c r="AI47" i="2"/>
  <c r="AG65" i="2"/>
  <c r="AG23" i="2"/>
  <c r="AE77" i="13"/>
  <c r="AD80" i="13"/>
  <c r="AG58" i="2"/>
  <c r="AF89" i="2"/>
  <c r="AG53" i="2"/>
  <c r="AI53" i="2"/>
  <c r="AI36" i="2"/>
  <c r="AG36" i="2"/>
  <c r="R56" i="13"/>
  <c r="AE56" i="13" s="1"/>
  <c r="AI87" i="2"/>
  <c r="AI35" i="2"/>
  <c r="AG60" i="2"/>
  <c r="AI60" i="2"/>
  <c r="AG93" i="2"/>
  <c r="AI93" i="2"/>
  <c r="AD36" i="59"/>
  <c r="AE26" i="59"/>
  <c r="V125" i="59"/>
  <c r="R68" i="60"/>
  <c r="AE55" i="14"/>
  <c r="AE75" i="13"/>
  <c r="R80" i="13"/>
  <c r="AE80" i="13" s="1"/>
  <c r="L10" i="6"/>
  <c r="L15" i="6" s="1"/>
  <c r="E17" i="6"/>
  <c r="AG25" i="2"/>
  <c r="AI25" i="2"/>
  <c r="R122" i="14"/>
  <c r="AE122" i="14" s="1"/>
  <c r="N125" i="59"/>
  <c r="AE15" i="14"/>
  <c r="AG76" i="2"/>
  <c r="AI76" i="2"/>
  <c r="AE43" i="13"/>
  <c r="AF91" i="2"/>
  <c r="AE98" i="70"/>
  <c r="AF98" i="70" s="1"/>
  <c r="AE45" i="14"/>
  <c r="AG44" i="2"/>
  <c r="AI44" i="2"/>
  <c r="AG49" i="2"/>
  <c r="AI49" i="2"/>
  <c r="AE123" i="59"/>
  <c r="AD124" i="59"/>
  <c r="AG38" i="2"/>
  <c r="AI38" i="2"/>
  <c r="AE95" i="59"/>
  <c r="AD96" i="59"/>
  <c r="AE120" i="60"/>
  <c r="AD124" i="60"/>
  <c r="AE54" i="59"/>
  <c r="AD55" i="59"/>
  <c r="R71" i="13"/>
  <c r="AE71" i="13" s="1"/>
  <c r="AI70" i="2"/>
  <c r="AG70" i="2"/>
  <c r="AE12" i="13"/>
  <c r="AE104" i="60"/>
  <c r="AE109" i="60" s="1"/>
  <c r="R109" i="60"/>
  <c r="R124" i="59"/>
  <c r="R46" i="59"/>
  <c r="R75" i="60"/>
  <c r="AE111" i="70"/>
  <c r="AF111" i="70" s="1"/>
  <c r="AE77" i="70"/>
  <c r="AE38" i="70"/>
  <c r="AE25" i="59"/>
  <c r="R36" i="59"/>
  <c r="AE124" i="59"/>
  <c r="AE89" i="59"/>
  <c r="R96" i="59"/>
  <c r="AE75" i="60"/>
  <c r="AE100" i="14"/>
  <c r="AM113" i="70"/>
  <c r="AD124" i="14"/>
  <c r="AE92" i="13"/>
  <c r="AE24" i="60"/>
  <c r="AE36" i="60" s="1"/>
  <c r="R36" i="60"/>
  <c r="AE45" i="59"/>
  <c r="AE46" i="59" s="1"/>
  <c r="AD46" i="59"/>
  <c r="AE42" i="60"/>
  <c r="AE46" i="60" s="1"/>
  <c r="R46" i="60"/>
  <c r="R104" i="13"/>
  <c r="R13" i="60"/>
  <c r="AE7" i="60"/>
  <c r="AE54" i="60"/>
  <c r="AD55" i="60"/>
  <c r="R22" i="60"/>
  <c r="AE18" i="60"/>
  <c r="AI78" i="2"/>
  <c r="AG78" i="2"/>
  <c r="AI18" i="2"/>
  <c r="AG18" i="2"/>
  <c r="BU35" i="42"/>
  <c r="BV18" i="42"/>
  <c r="BV35" i="42" s="1"/>
  <c r="AG62" i="2"/>
  <c r="AI62" i="2"/>
  <c r="AE78" i="14"/>
  <c r="AE104" i="59"/>
  <c r="AE109" i="59" s="1"/>
  <c r="R109" i="59"/>
  <c r="AE9" i="59"/>
  <c r="AD13" i="59"/>
  <c r="AE119" i="60"/>
  <c r="R124" i="60"/>
  <c r="AE19" i="60"/>
  <c r="AD22" i="60"/>
  <c r="AE53" i="59"/>
  <c r="AE55" i="59" s="1"/>
  <c r="R55" i="59"/>
  <c r="AE11" i="60"/>
  <c r="AD13" i="60"/>
  <c r="AE71" i="59"/>
  <c r="AE75" i="59" s="1"/>
  <c r="R75" i="59"/>
  <c r="AE77" i="59"/>
  <c r="AE86" i="59" s="1"/>
  <c r="R86" i="59"/>
  <c r="AG61" i="2"/>
  <c r="AI61" i="2"/>
  <c r="AG27" i="2"/>
  <c r="AI27" i="2"/>
  <c r="AE91" i="60"/>
  <c r="AD96" i="60"/>
  <c r="AE53" i="60"/>
  <c r="R55" i="60"/>
  <c r="AM111" i="60"/>
  <c r="R13" i="59"/>
  <c r="AE7" i="59"/>
  <c r="AE13" i="59" s="1"/>
  <c r="AE77" i="60"/>
  <c r="AE86" i="60" s="1"/>
  <c r="R86" i="60"/>
  <c r="AI63" i="2"/>
  <c r="AG63" i="2"/>
  <c r="AI59" i="2"/>
  <c r="AG59" i="2"/>
  <c r="AI48" i="2"/>
  <c r="AG48" i="2"/>
  <c r="AG21" i="2"/>
  <c r="AI21" i="2"/>
  <c r="AE90" i="60"/>
  <c r="R96" i="60"/>
  <c r="AE66" i="59"/>
  <c r="AE68" i="59" s="1"/>
  <c r="R68" i="59"/>
  <c r="AF19" i="2"/>
  <c r="AE99" i="2"/>
  <c r="C8" i="1"/>
  <c r="G8" i="1" s="1"/>
  <c r="AH121" i="2"/>
  <c r="AG41" i="2"/>
  <c r="AI41" i="2"/>
  <c r="AD105" i="13"/>
  <c r="C31" i="1" s="1"/>
  <c r="AE113" i="14"/>
  <c r="AE126" i="70"/>
  <c r="AF126" i="70" s="1"/>
  <c r="N125" i="60"/>
  <c r="AI16" i="2"/>
  <c r="AG16" i="2"/>
  <c r="AG54" i="2"/>
  <c r="AI54" i="2"/>
  <c r="AB99" i="2"/>
  <c r="AL15" i="2"/>
  <c r="AM15" i="2" s="1"/>
  <c r="AE15" i="70"/>
  <c r="AF15" i="70" s="1"/>
  <c r="AG15" i="70" s="1"/>
  <c r="AE24" i="70"/>
  <c r="AD127" i="70"/>
  <c r="R127" i="70"/>
  <c r="AE57" i="70"/>
  <c r="R124" i="14" l="1"/>
  <c r="AI89" i="2"/>
  <c r="AG89" i="2"/>
  <c r="AE36" i="59"/>
  <c r="AE125" i="59" s="1"/>
  <c r="R125" i="60"/>
  <c r="AE96" i="60"/>
  <c r="AE124" i="14"/>
  <c r="C33" i="1" s="1"/>
  <c r="C32" i="1" s="1"/>
  <c r="AI91" i="2"/>
  <c r="AG91" i="2"/>
  <c r="AE105" i="13"/>
  <c r="AF105" i="13" s="1"/>
  <c r="R105" i="13"/>
  <c r="C30" i="1" s="1"/>
  <c r="C29" i="1" s="1"/>
  <c r="R125" i="59"/>
  <c r="AE55" i="60"/>
  <c r="AE124" i="60"/>
  <c r="AE96" i="59"/>
  <c r="AD125" i="60"/>
  <c r="AE22" i="60"/>
  <c r="AE13" i="60"/>
  <c r="AF13" i="60" s="1"/>
  <c r="AG13" i="60" s="1"/>
  <c r="AD125" i="59"/>
  <c r="AF13" i="59"/>
  <c r="AG13" i="59" s="1"/>
  <c r="AI19" i="2"/>
  <c r="AI99" i="2" s="1"/>
  <c r="AG19" i="2"/>
  <c r="AG99" i="2" s="1"/>
  <c r="AE123" i="14"/>
  <c r="AF123" i="14" s="1"/>
  <c r="AF124" i="14" s="1"/>
  <c r="AH124" i="14" s="1"/>
  <c r="AF99" i="2"/>
  <c r="AE127" i="70"/>
  <c r="D33" i="1" l="1"/>
  <c r="AE129" i="59"/>
  <c r="AE125" i="60"/>
  <c r="AE129" i="60" s="1"/>
  <c r="AJ99" i="2"/>
  <c r="AI121" i="2"/>
  <c r="AJ101" i="2" l="1"/>
  <c r="C7" i="1"/>
  <c r="E12" i="1" l="1"/>
  <c r="E13" i="1"/>
  <c r="E10" i="1"/>
  <c r="C13" i="1"/>
  <c r="C11" i="1"/>
  <c r="C6" i="1"/>
  <c r="C10" i="1"/>
  <c r="E11" i="1"/>
  <c r="C12" i="1"/>
  <c r="G7" i="1"/>
  <c r="C9" i="1" l="1"/>
  <c r="G9" i="1" s="1"/>
  <c r="C40" i="1" l="1"/>
  <c r="C42" i="1" l="1"/>
  <c r="E41" i="1"/>
  <c r="F41" i="1" s="1"/>
  <c r="C33" i="107" l="1"/>
  <c r="D40" i="107" s="1"/>
  <c r="C40" i="107" l="1"/>
  <c r="E40" i="107" l="1"/>
  <c r="G40" i="107"/>
  <c r="C33" i="110"/>
  <c r="C40" i="110" s="1"/>
  <c r="D40" i="110" l="1"/>
  <c r="E40" i="110" s="1"/>
  <c r="C33" i="111"/>
  <c r="C40" i="111" l="1"/>
  <c r="D40" i="111" s="1"/>
  <c r="E40" i="111" s="1"/>
</calcChain>
</file>

<file path=xl/sharedStrings.xml><?xml version="1.0" encoding="utf-8"?>
<sst xmlns="http://schemas.openxmlformats.org/spreadsheetml/2006/main" count="5461" uniqueCount="1679">
  <si>
    <t>Расчет на 2023 год</t>
  </si>
  <si>
    <t>РГКП «Центр Олимпийской подготовки «Нур-Султан»</t>
  </si>
  <si>
    <t>№</t>
  </si>
  <si>
    <t xml:space="preserve">Наименование и расчет </t>
  </si>
  <si>
    <t xml:space="preserve">Сумма </t>
  </si>
  <si>
    <t>(тыс. тенге)</t>
  </si>
  <si>
    <t>Оплата труда</t>
  </si>
  <si>
    <t>Оплата труда  12 мес =</t>
  </si>
  <si>
    <t xml:space="preserve">Компенсационные выплаты = </t>
  </si>
  <si>
    <t>Расходы по налогам</t>
  </si>
  <si>
    <t>Обязательные пенсионные взносы работодателя (ОПВР)  *1,5%=</t>
  </si>
  <si>
    <t>Социальный налог  *6%=</t>
  </si>
  <si>
    <t>Обязательные соц. отчисления *3,5%=</t>
  </si>
  <si>
    <t>Медицинское социальное страхование *3%=</t>
  </si>
  <si>
    <t>Взносы на обязательное страхование =</t>
  </si>
  <si>
    <t>Приобретение медикаментов и прочих средств медицинского назначения=</t>
  </si>
  <si>
    <t>Приобретение ГСМ</t>
  </si>
  <si>
    <t xml:space="preserve">ГСМ ( дизтопливаи бензин) х 12 мес = </t>
  </si>
  <si>
    <t>Приобретение прочих товаров</t>
  </si>
  <si>
    <t>Спортивная экипировка и инвентарь =</t>
  </si>
  <si>
    <t>Коммунальные услуги</t>
  </si>
  <si>
    <t>Водоснабжение</t>
  </si>
  <si>
    <t>Электроэнергия</t>
  </si>
  <si>
    <t>Отопление</t>
  </si>
  <si>
    <t>Услуги связи</t>
  </si>
  <si>
    <t>Прочие услуги</t>
  </si>
  <si>
    <t>Содержание, обслуживание, текущий ремонт зданий, помещений и оборудования =</t>
  </si>
  <si>
    <t xml:space="preserve"> </t>
  </si>
  <si>
    <t>Командировочные расходы</t>
  </si>
  <si>
    <t xml:space="preserve">Командировки и служебные разъезды внутри страны АУП внутри страны </t>
  </si>
  <si>
    <t>Командировки и служебные разъезды за пределы страны (АУП и тренера) =</t>
  </si>
  <si>
    <t>Прочие текущие затраты</t>
  </si>
  <si>
    <t>Командировки и служебные разъезды (спортсмены) =</t>
  </si>
  <si>
    <t>Налог на транспортные средства =</t>
  </si>
  <si>
    <t>Налог на землю=</t>
  </si>
  <si>
    <t>Налог на имущество=</t>
  </si>
  <si>
    <t>Страхование  жизни работников</t>
  </si>
  <si>
    <t>НДС 12% =</t>
  </si>
  <si>
    <t>Всего</t>
  </si>
  <si>
    <t>Директор                                                                                                         Могилевский А.В.</t>
  </si>
  <si>
    <t>Руководитель ПЭО                                                                                           Сулейменов О.М.</t>
  </si>
  <si>
    <t>"Согласовано"                                                                                                                            Председатель Комитета по делам спорта и физической культуры                                                     Министерства культуры и спорта РК</t>
  </si>
  <si>
    <t>"Утверждаю"                                                                                                                                                                   Директор РГКП "Центр олимпийской подготовки  "Нур-Султан"                                                   Комитета по делам спорта и физической культуры МКС РК</t>
  </si>
  <si>
    <t>______________________________С. Ергалиев</t>
  </si>
  <si>
    <t xml:space="preserve">______________________ А. Могилевский </t>
  </si>
  <si>
    <t>"____"___________________202__ год.</t>
  </si>
  <si>
    <t xml:space="preserve">                                          "____"___________________202__ год.</t>
  </si>
  <si>
    <t>Штатное расписание РГКП "Центр олимпийской подготовки "Нур-Султан" Комитета по делам спорта и физической культуры Министерства культуры и спорта Республики Казахстан на 2022 год</t>
  </si>
  <si>
    <t>Должность</t>
  </si>
  <si>
    <t>Ф.И.О.</t>
  </si>
  <si>
    <t>Звено, ступень, квалификационный разряд</t>
  </si>
  <si>
    <t>Кол-во ставок</t>
  </si>
  <si>
    <t>Стаж работы</t>
  </si>
  <si>
    <t>Коэффициенты</t>
  </si>
  <si>
    <t>Базовый должностной оклад</t>
  </si>
  <si>
    <t>Должностной оклад</t>
  </si>
  <si>
    <t>Стимулирующая надбавка</t>
  </si>
  <si>
    <t>Доплата за работу в ночное время</t>
  </si>
  <si>
    <t>Доплата за работу в праздничные и выходные дни</t>
  </si>
  <si>
    <t>%</t>
  </si>
  <si>
    <t>Надбавка за классную квалификацию</t>
  </si>
  <si>
    <t>Доплата работникам, занятым на тяж. физ. работах и работах с вредными и опасными условиями труда</t>
  </si>
  <si>
    <t>Надбавка за спортивное звание</t>
  </si>
  <si>
    <t>Надбавка за профессиональное педагогическое мастерство</t>
  </si>
  <si>
    <t>Доплата за непосредственное обеспечение высококачественного УТП</t>
  </si>
  <si>
    <t xml:space="preserve">Доплата за подготовку чемпионов и призеров спортивных соревнований </t>
  </si>
  <si>
    <t xml:space="preserve"> Надбавка за особые условия труда 10 % от ДО</t>
  </si>
  <si>
    <t>Заработная плата в месяц</t>
  </si>
  <si>
    <t>Заработная плата в год</t>
  </si>
  <si>
    <t xml:space="preserve"> Пособие на оздоровление</t>
  </si>
  <si>
    <t>Фонд оплаты труда (9 мес)</t>
  </si>
  <si>
    <t>Доплата за статус "Старший"</t>
  </si>
  <si>
    <t>Юрист (ДЕ)</t>
  </si>
  <si>
    <t>C2</t>
  </si>
  <si>
    <t xml:space="preserve">с 7 до 10 </t>
  </si>
  <si>
    <t>Инспектор по кадрам (ДЕ)</t>
  </si>
  <si>
    <t xml:space="preserve">с 20 до 25 </t>
  </si>
  <si>
    <t>Бухгалтер расчетного стола</t>
  </si>
  <si>
    <t xml:space="preserve">с 13 до 16 </t>
  </si>
  <si>
    <t>Бухгалтер материального стола</t>
  </si>
  <si>
    <t xml:space="preserve">с 10 до 13 </t>
  </si>
  <si>
    <t>Кассир</t>
  </si>
  <si>
    <t>D</t>
  </si>
  <si>
    <t>Экономист</t>
  </si>
  <si>
    <t>Менеджер по государственным закупкам</t>
  </si>
  <si>
    <t>Касенов Б.Б.</t>
  </si>
  <si>
    <t>Инспектор по учету ТМЦ</t>
  </si>
  <si>
    <t>Жандарбаева Бахыт Илиусысовна</t>
  </si>
  <si>
    <t>свыше 25</t>
  </si>
  <si>
    <t>Методисты по видам спорта</t>
  </si>
  <si>
    <t>Умиралиева Д., Баянсулу</t>
  </si>
  <si>
    <t>В2-1</t>
  </si>
  <si>
    <t>с 10 до 13</t>
  </si>
  <si>
    <t>Дуйсеналиев Нурдаулет</t>
  </si>
  <si>
    <t>Оразбекова Айнаш</t>
  </si>
  <si>
    <t>Касен Дана</t>
  </si>
  <si>
    <t>вакансия</t>
  </si>
  <si>
    <t>Старший тренер по греко-римской борьбе (юниоры)</t>
  </si>
  <si>
    <t>Касымханов М.К.</t>
  </si>
  <si>
    <t>А2-2</t>
  </si>
  <si>
    <t>Старший тренер по греко-римской борьбе (юноши)</t>
  </si>
  <si>
    <t>Оркешев Е.Г.</t>
  </si>
  <si>
    <t>Тренер по греко-римской борьбе (юниоры)</t>
  </si>
  <si>
    <t>с 16 до 20</t>
  </si>
  <si>
    <t>Тренер по греко-римской борьбе</t>
  </si>
  <si>
    <t>Тукенов К.К.</t>
  </si>
  <si>
    <t>с 20 до 25</t>
  </si>
  <si>
    <t>Старший тренер по вольной борьбе (молодежь, юниоры)</t>
  </si>
  <si>
    <t>Курамысов М.Ж.</t>
  </si>
  <si>
    <t>Старший тренер по вольной борьбе (юноши)</t>
  </si>
  <si>
    <t>Кешубаев Е.Н.</t>
  </si>
  <si>
    <t>Тренер по вольной борьбе</t>
  </si>
  <si>
    <t>Жакупов С.С.</t>
  </si>
  <si>
    <t>Маханбетов К.С.</t>
  </si>
  <si>
    <t>Старший тренер по женской борьбе (молодежь, юниорки)</t>
  </si>
  <si>
    <t>Алшимбаев С.А.</t>
  </si>
  <si>
    <t>Старший тренер по женской борьбе (девушки)</t>
  </si>
  <si>
    <t>Дынбаева М.Б.</t>
  </si>
  <si>
    <t>Тренер по женской борьбе</t>
  </si>
  <si>
    <t>Алимбетова Н.А.</t>
  </si>
  <si>
    <t>Сайлауов Б.К.</t>
  </si>
  <si>
    <t>Старший тренер по дзюдо (молодежь)</t>
  </si>
  <si>
    <t>Мұқанов А.А.</t>
  </si>
  <si>
    <t>Старший тренер по дзюдо (юниоры, юниорки)</t>
  </si>
  <si>
    <t>Хатип А.Г.</t>
  </si>
  <si>
    <t>Старший тренер по дзюдо (юноши)</t>
  </si>
  <si>
    <t>Туребеков Б.И</t>
  </si>
  <si>
    <t>Тренер по дзюдо (юниоры)</t>
  </si>
  <si>
    <t>Имашев А.А.</t>
  </si>
  <si>
    <t>Тренер по дзюдо (юниорки)</t>
  </si>
  <si>
    <t>Мыктыбеков Н.С.</t>
  </si>
  <si>
    <t>Тренер по дзюдо (юноши)</t>
  </si>
  <si>
    <t>Таханов М., Найманханов Р.</t>
  </si>
  <si>
    <t>Тренер по дзюдо (девушки)</t>
  </si>
  <si>
    <t>Есенгалиев Г.</t>
  </si>
  <si>
    <t>Старший тренер по таэквондо (юниоры)</t>
  </si>
  <si>
    <t>Ризаев Д.П.</t>
  </si>
  <si>
    <t>Старший тренер по таэквондо (юниорки)</t>
  </si>
  <si>
    <t>Мамаев Н.Қ., Жанбиров</t>
  </si>
  <si>
    <t>Тренер по таэквондо (юниорки)</t>
  </si>
  <si>
    <t>Старший тренер по таэквондо (юноши)</t>
  </si>
  <si>
    <t>Суранов М.Ж.</t>
  </si>
  <si>
    <t>Старший тренер по таеквондо (девушки)</t>
  </si>
  <si>
    <t>Султанов Е.Е.</t>
  </si>
  <si>
    <t>Старший тренер по каратэ (молодежь)</t>
  </si>
  <si>
    <t>Тогузбаев Р.К.</t>
  </si>
  <si>
    <t>Старший тренер по каратэ (юниоры)</t>
  </si>
  <si>
    <t>Қажымұқан Ш.А.</t>
  </si>
  <si>
    <t>Старший тренер по каратэ (юноши)</t>
  </si>
  <si>
    <t>Халидов Х.Б.</t>
  </si>
  <si>
    <t>Руководитель службы</t>
  </si>
  <si>
    <t>А3-1</t>
  </si>
  <si>
    <t>Главный инженер (ДЕ)</t>
  </si>
  <si>
    <t>А3-1-1</t>
  </si>
  <si>
    <t>Инженер производственно-технического обеспечения (ДЕ)</t>
  </si>
  <si>
    <t>Старший инженер по энергетике (ДЕ)</t>
  </si>
  <si>
    <t>Инженер по контрольно-измерительным приборам и автоматике (ДЕ)</t>
  </si>
  <si>
    <t>Мастер  по контрольно-измерительным приборам и автоматике (ДЕ)</t>
  </si>
  <si>
    <t>Электромонтер по ремонту и обслуживанию электрооборудования (ДЕ)</t>
  </si>
  <si>
    <t>Старший инженер по теплоснабжению, водоснабжению и канализации (ДЕ)</t>
  </si>
  <si>
    <t>Инженер по теплотехнике (ДЕ)</t>
  </si>
  <si>
    <t>Инженер по водоснабжению и канализации (ДЕ)</t>
  </si>
  <si>
    <t>с 3 до 5</t>
  </si>
  <si>
    <t>Инженер по вентиляции и климотехнике (ДЕ)</t>
  </si>
  <si>
    <t>Слесарь-сантехник (ДЕ)</t>
  </si>
  <si>
    <t xml:space="preserve">Руководитель отдела </t>
  </si>
  <si>
    <t>Инспектор по спортивным залам (ДЕ)</t>
  </si>
  <si>
    <t>с 7 до 10</t>
  </si>
  <si>
    <t>Инспектор по арене (ДЕ)</t>
  </si>
  <si>
    <t>Инструктор по видам спорта (ДЕ)</t>
  </si>
  <si>
    <t>Заведующий гостиницей (ДЕ)</t>
  </si>
  <si>
    <t>C1</t>
  </si>
  <si>
    <t>Менеджер по гостиничному сервису (ДЕ)</t>
  </si>
  <si>
    <t>C3</t>
  </si>
  <si>
    <t>Горничная (ДЕ)</t>
  </si>
  <si>
    <t>Техник прачечной (оператор) (ДЕ)</t>
  </si>
  <si>
    <t>Заведующий фитнес центра (ДЕ)</t>
  </si>
  <si>
    <t>Инспектор по работе с клиентами (ДЕ)</t>
  </si>
  <si>
    <t>Инспектор фитнес центра (ДЕ)</t>
  </si>
  <si>
    <t>Инструктор по плаванию (ДЕ)</t>
  </si>
  <si>
    <t>Инструктор тренажерного зала (ДЕ)</t>
  </si>
  <si>
    <t>Инструктор-спасатель (ДЕ)</t>
  </si>
  <si>
    <t>Кастелянша (ДЕ)</t>
  </si>
  <si>
    <t>Гардеробщица (ДЕ)</t>
  </si>
  <si>
    <t>Заведующая столовой (ДЕ)</t>
  </si>
  <si>
    <t>Менеджер по залу (ДЕ)</t>
  </si>
  <si>
    <t>Повар горячего цеха (ДЕ)</t>
  </si>
  <si>
    <t>Повар холодного цеха (ДЕ)</t>
  </si>
  <si>
    <t>Повар-мясник (ДЕ)</t>
  </si>
  <si>
    <t>Повар-пекарь (ДЕ)</t>
  </si>
  <si>
    <t>Кухонный рабочий (ДЕ)</t>
  </si>
  <si>
    <t>Инженер Б и ОТ (ДЕ)</t>
  </si>
  <si>
    <t>Инспектор ГО и ЧС (ДЕ)</t>
  </si>
  <si>
    <t>Водитель</t>
  </si>
  <si>
    <t>Старший инспектор службы безопасности (ДЕ)</t>
  </si>
  <si>
    <t>Инспектор по диспетчеризации (ДЕ)</t>
  </si>
  <si>
    <t>ВСЕГО</t>
  </si>
  <si>
    <t>Руководитель ПЭО                                                                                                                                                                                                                                                                                                                                                                             Сулейменов  О. М.</t>
  </si>
  <si>
    <t xml:space="preserve">     Расчет  размера страховой премии при обязательном страховании</t>
  </si>
  <si>
    <t>Тип транспортного средства</t>
  </si>
  <si>
    <t>Базовая ставка</t>
  </si>
  <si>
    <t>Размер коэффициента по типу транспортного средства*</t>
  </si>
  <si>
    <t>Алматинская область</t>
  </si>
  <si>
    <t>Южно-Казахстанская область</t>
  </si>
  <si>
    <t>Восточно-Казахстанская область</t>
  </si>
  <si>
    <t>Костанайская область</t>
  </si>
  <si>
    <t>Карагандинская область</t>
  </si>
  <si>
    <t>Северо-Казахстанская область</t>
  </si>
  <si>
    <t>Акмолинская область</t>
  </si>
  <si>
    <t>Павлодарская область</t>
  </si>
  <si>
    <t>Жамбылская область</t>
  </si>
  <si>
    <t>Актюбинская область</t>
  </si>
  <si>
    <t>Западно-Казахстанская область</t>
  </si>
  <si>
    <t>Кызылординская область</t>
  </si>
  <si>
    <t>Атырауская область</t>
  </si>
  <si>
    <t>Мангистауская область</t>
  </si>
  <si>
    <t>г.Алматы</t>
  </si>
  <si>
    <t>Коэффициенты по территории регистрации ТС</t>
  </si>
  <si>
    <t>Размер коэфецента  в зависимости от срока эксплуатации транспортного средства свыше 7 лет</t>
  </si>
  <si>
    <t>Коэффициент для юридических лиц</t>
  </si>
  <si>
    <t>Кол-во трансп. средств</t>
  </si>
  <si>
    <t>Единица измерения</t>
  </si>
  <si>
    <t>коэф.</t>
  </si>
  <si>
    <t>ед.</t>
  </si>
  <si>
    <t>тыс.тенге</t>
  </si>
  <si>
    <t xml:space="preserve">Легковые </t>
  </si>
  <si>
    <t xml:space="preserve">Автобусы до 16 пассажирских
мест 
</t>
  </si>
  <si>
    <t>включительно</t>
  </si>
  <si>
    <t>Автобусы до 16 пассажирских мест включительно (до 7 лет)</t>
  </si>
  <si>
    <t xml:space="preserve">Грузовые </t>
  </si>
  <si>
    <t>Троллейбусы, трамваи</t>
  </si>
  <si>
    <t>Мототранспорт</t>
  </si>
  <si>
    <t>Прицепы (полуприцепы)</t>
  </si>
  <si>
    <t>Итого</t>
  </si>
  <si>
    <t>х</t>
  </si>
  <si>
    <t>Закон Республики Казахстан от 1 июля 2003 года N 446 "Об обязательном страховании гражданско-правовой ответственности владельцев транспортных средств"</t>
  </si>
  <si>
    <t>Общий годовой объем</t>
  </si>
  <si>
    <t>Т5</t>
  </si>
  <si>
    <t>Всего дизель, л</t>
  </si>
  <si>
    <t>всего бензин, л</t>
  </si>
  <si>
    <t>Всего дизель, тыс. тг</t>
  </si>
  <si>
    <t>всего бензин, тыс.тг</t>
  </si>
  <si>
    <t>Всего, тыс.тг</t>
  </si>
  <si>
    <t>Согласно Постановлению Правительства Республики Казахстан от 11 августа 2009 года № 1210</t>
  </si>
  <si>
    <t>"Об утверждении норм расходов горюче-смазочных материалов для государственных органов Республики Казахстан и расходов на содержание автотранспорта"</t>
  </si>
  <si>
    <t>Директор                                                                                                                                                                    Могилевский А.В.</t>
  </si>
  <si>
    <t>Приобретение спортивной экипировки и инвентаря на 2023 год</t>
  </si>
  <si>
    <t>Наименование</t>
  </si>
  <si>
    <t>Ед. изм</t>
  </si>
  <si>
    <t>Кол-во</t>
  </si>
  <si>
    <t>Цена за ед. тенге</t>
  </si>
  <si>
    <t>Всего, тыс.тенге</t>
  </si>
  <si>
    <t>Плановая экипировка</t>
  </si>
  <si>
    <t>Футболка</t>
  </si>
  <si>
    <t>штук</t>
  </si>
  <si>
    <t xml:space="preserve">Итого </t>
  </si>
  <si>
    <t>№ п/п</t>
  </si>
  <si>
    <t>Тариф, в тенге</t>
  </si>
  <si>
    <t>Кол-во ед. мощности</t>
  </si>
  <si>
    <t>Сумма в месяц, тенге</t>
  </si>
  <si>
    <t>Сумма, 
тыс. тенге</t>
  </si>
  <si>
    <t>Итого (без учета НДС)</t>
  </si>
  <si>
    <t>Ед.измерения Гкал*</t>
  </si>
  <si>
    <t>шт.</t>
  </si>
  <si>
    <t xml:space="preserve">Наименование </t>
  </si>
  <si>
    <t xml:space="preserve">Ед. изм. </t>
  </si>
  <si>
    <t>Количество</t>
  </si>
  <si>
    <t>Цена, без НДС</t>
  </si>
  <si>
    <t xml:space="preserve">Общая стоимость,   тыс.тенге  </t>
  </si>
  <si>
    <t>услуга</t>
  </si>
  <si>
    <t>Финансовый календарь СММ на 2023-2025 гг.</t>
  </si>
  <si>
    <t xml:space="preserve">Наименование соревнований </t>
  </si>
  <si>
    <t>Сроки  проведения</t>
  </si>
  <si>
    <t xml:space="preserve">Место проведения </t>
  </si>
  <si>
    <t>Кол-во дней</t>
  </si>
  <si>
    <t xml:space="preserve">Спортсменов </t>
  </si>
  <si>
    <t>Командировки внутри страны</t>
  </si>
  <si>
    <t>Всего расходов в пределах страны</t>
  </si>
  <si>
    <t>Командировки за пределами РК</t>
  </si>
  <si>
    <t>Тренеров и др. участ.</t>
  </si>
  <si>
    <t xml:space="preserve">Проживание </t>
  </si>
  <si>
    <t>Питание
спортсменов</t>
  </si>
  <si>
    <t xml:space="preserve">Суточные тренеров и др. участников </t>
  </si>
  <si>
    <t>Проезд</t>
  </si>
  <si>
    <t>Прочие расходы</t>
  </si>
  <si>
    <t>Суточные</t>
  </si>
  <si>
    <t xml:space="preserve">Страхование </t>
  </si>
  <si>
    <t>Виза</t>
  </si>
  <si>
    <t>Багаж</t>
  </si>
  <si>
    <t>Оплата аренды автотранспорта и спортсооружений, прочие</t>
  </si>
  <si>
    <t>Всего расходов за пределами страны</t>
  </si>
  <si>
    <t>1 чел.</t>
  </si>
  <si>
    <t>Сумма</t>
  </si>
  <si>
    <t>1 сутки 
сумма</t>
  </si>
  <si>
    <t xml:space="preserve">1 сутки
сумма </t>
  </si>
  <si>
    <t xml:space="preserve">В двух направлениях </t>
  </si>
  <si>
    <t xml:space="preserve">1 чел. </t>
  </si>
  <si>
    <t xml:space="preserve">двух направлениях </t>
  </si>
  <si>
    <t>Виды борьбы</t>
  </si>
  <si>
    <t>Вольная борьба (юниоры, молодежь)</t>
  </si>
  <si>
    <t>Словения</t>
  </si>
  <si>
    <t>УТС по СФП</t>
  </si>
  <si>
    <t>апрель-май/май</t>
  </si>
  <si>
    <t>Нур-Султан/Алматы/Шымкент/Акмолинская обл/Алматинская обл/Туркестанская обл/Жамбылская обл.</t>
  </si>
  <si>
    <t>Участие в МТ</t>
  </si>
  <si>
    <t>май/май-июнь</t>
  </si>
  <si>
    <t>Турция/Румыния/ Латвия</t>
  </si>
  <si>
    <t>УТС перед ЧА</t>
  </si>
  <si>
    <t>май-июнь/июнь</t>
  </si>
  <si>
    <t>Участие в ЧА</t>
  </si>
  <si>
    <t>июль</t>
  </si>
  <si>
    <t xml:space="preserve">Южная Корея/Таиланд </t>
  </si>
  <si>
    <t>УТС перед ЧМ</t>
  </si>
  <si>
    <t>июль/июль-август</t>
  </si>
  <si>
    <t>Нур-Султан/Алматы/ Шымкент/Акмолинская обл/Алматинская обл/Туркестанская обл/Жамбылская обл</t>
  </si>
  <si>
    <t>Участие в ЧМ</t>
  </si>
  <si>
    <t xml:space="preserve">август </t>
  </si>
  <si>
    <t>Болгария (г.София)</t>
  </si>
  <si>
    <t>июнь</t>
  </si>
  <si>
    <t>Нур-Султан/Алматы/Шымкент/Акмолинская обл/Алматинская обл/Туркестанская обл</t>
  </si>
  <si>
    <t>Вольная борьба (кадеты, юноши)</t>
  </si>
  <si>
    <t xml:space="preserve">УТС по СФП </t>
  </si>
  <si>
    <t>февраль/февраль-март</t>
  </si>
  <si>
    <t>апрель/май</t>
  </si>
  <si>
    <t>Турция/Румыния/Россия/Венгрия/Азербайджан/Киргизия</t>
  </si>
  <si>
    <t>УТС перед ЧА                1-этап</t>
  </si>
  <si>
    <t>май/май-июнь/июнь</t>
  </si>
  <si>
    <t>Нур-Султан/ Алматы/Шымкент/ Акмолинская обл/Алматинская обл/Туркестанская обл/Жамбылская обл.</t>
  </si>
  <si>
    <t>УТС перед ЧА                  2-этап</t>
  </si>
  <si>
    <t>Болгария/Саудовская Аравия</t>
  </si>
  <si>
    <t>УТС перед МТ</t>
  </si>
  <si>
    <t>УТС перед ЧМ 1 этап</t>
  </si>
  <si>
    <t>июнь/июнь-июль</t>
  </si>
  <si>
    <t>УТС перед ЧМ 2 этап</t>
  </si>
  <si>
    <t>Чемпионат Мира</t>
  </si>
  <si>
    <t>Европа</t>
  </si>
  <si>
    <t>Греко-римская борьба (кадеты, юноши)</t>
  </si>
  <si>
    <t>февраль/март</t>
  </si>
  <si>
    <t>Акмолинская обл./ Алматинская обл./Туркестанская обл./г. Нур-Султан,/ г. Алматы/ г. Шымкент</t>
  </si>
  <si>
    <t>Турция</t>
  </si>
  <si>
    <t>май</t>
  </si>
  <si>
    <t>МТ</t>
  </si>
  <si>
    <t>Март</t>
  </si>
  <si>
    <t>Турция(Стамбул), Болгария(София) Россия (Каспийск)</t>
  </si>
  <si>
    <t>Август</t>
  </si>
  <si>
    <t>г. София, Болгария</t>
  </si>
  <si>
    <t>Греко-римская борьба (юниоры, молодежь)</t>
  </si>
  <si>
    <t>март</t>
  </si>
  <si>
    <t>Хорватия/Турция/ Россия/Азербайджан</t>
  </si>
  <si>
    <t>УТС перед ЧА  1-этап</t>
  </si>
  <si>
    <t>УТС перед ЧА  2-этап</t>
  </si>
  <si>
    <t>июнь-июль</t>
  </si>
  <si>
    <t>Оман</t>
  </si>
  <si>
    <t>Италия</t>
  </si>
  <si>
    <t>Женская борьба (кадетки, девушки)</t>
  </si>
  <si>
    <t xml:space="preserve">УТС перед ЧА и проведение обследования УМО </t>
  </si>
  <si>
    <t>май-июнь</t>
  </si>
  <si>
    <t>Нур-Султан/Алматы/ Шымкент/Акмолинская обл/АО/ Туркестан. обл./Жамбылская обл.</t>
  </si>
  <si>
    <t>г. Нур-Султан/ г. Алматы/г. Шымкент/ Акмолинская обл./ АО/Туркестанская обл.</t>
  </si>
  <si>
    <t>июнь-июль/июль</t>
  </si>
  <si>
    <t>г. Нур-Султан/ г. Алматы/Шымкент/ Акмолинская обл./ Алматинская обл./Туркестанская обл.</t>
  </si>
  <si>
    <t>июль-август</t>
  </si>
  <si>
    <t>июль/агвуст</t>
  </si>
  <si>
    <t>Италия (Рим)</t>
  </si>
  <si>
    <t>ЧА до 15</t>
  </si>
  <si>
    <t>Азия</t>
  </si>
  <si>
    <t>Женская борьба (юниорки, молодежь)</t>
  </si>
  <si>
    <t>УТС по ОФП                   1-этап перед ЧА</t>
  </si>
  <si>
    <t>май/июнь</t>
  </si>
  <si>
    <t>г. Нур-Султан/ г. Алматы/Шымкент/ Акмолинская обл./ Алматинская обл./Туркестанская обл./Жамбылская обл.</t>
  </si>
  <si>
    <t>УТС по СФП                   2-этап перед ЧА</t>
  </si>
  <si>
    <t>июнь/июль</t>
  </si>
  <si>
    <t>УТС перед ЧМ          1 этап</t>
  </si>
  <si>
    <t>УТС перед ЧМ          2 этап</t>
  </si>
  <si>
    <t>август</t>
  </si>
  <si>
    <t>Восстановительные мероприятия</t>
  </si>
  <si>
    <t>октябрь</t>
  </si>
  <si>
    <t>Алматинская обл./ г. Алматы</t>
  </si>
  <si>
    <t>ноябрь</t>
  </si>
  <si>
    <t>УТС по ОФП</t>
  </si>
  <si>
    <t>декабрь</t>
  </si>
  <si>
    <t>Дзюдо (юниоры, молодежь)</t>
  </si>
  <si>
    <t>Акмолинская обл./ АО/Туркестанская обл./г. Нур-Султан,/ г. Алматы/ г. Шымкент/ Карагандинская обл./Жамбылская обл</t>
  </si>
  <si>
    <t>Участие в МТ и МТЛ</t>
  </si>
  <si>
    <t>март/апрель</t>
  </si>
  <si>
    <t>Проведение обследования УМО</t>
  </si>
  <si>
    <t>апрель</t>
  </si>
  <si>
    <t>Алматы</t>
  </si>
  <si>
    <t>Акмолинская обл./ АО/Туркестанская обл./Карагандинская обл./г. Нур-Султан,/ г. Алматы/ г. Шымкент/ Жамбылская обл</t>
  </si>
  <si>
    <t>Испания</t>
  </si>
  <si>
    <t>Чемпионат Азии</t>
  </si>
  <si>
    <t>август/сентябрь</t>
  </si>
  <si>
    <t>УТС по СФП перед "Чемпионатом Мира"</t>
  </si>
  <si>
    <t>сентябрь/  октябрь</t>
  </si>
  <si>
    <t>октябрь/ноябрь</t>
  </si>
  <si>
    <t>Дзюдо (юниорки, молодежь девушки)</t>
  </si>
  <si>
    <t>март-апрель/апрель</t>
  </si>
  <si>
    <t>апрель-май</t>
  </si>
  <si>
    <t>Германия</t>
  </si>
  <si>
    <t>июль/август</t>
  </si>
  <si>
    <t>Дзюдо (кадеты, кадетки, юноши, девушки)</t>
  </si>
  <si>
    <t>март-апрель</t>
  </si>
  <si>
    <t>апрель/апрель-май</t>
  </si>
  <si>
    <t>май/июнь/июль</t>
  </si>
  <si>
    <t>Хорватия/Азейрбаджан/Россия/ Грузия/ Турция</t>
  </si>
  <si>
    <t>УТС по СФП перед ЧА</t>
  </si>
  <si>
    <t>Азия, Европа</t>
  </si>
  <si>
    <t>Каратэ (юниоры, юниорки, молодежь)</t>
  </si>
  <si>
    <t>февраль</t>
  </si>
  <si>
    <t>Киргизия</t>
  </si>
  <si>
    <t>ЧА</t>
  </si>
  <si>
    <t>Узбекистан</t>
  </si>
  <si>
    <t>МТ и МТЛ</t>
  </si>
  <si>
    <t>Хорватия</t>
  </si>
  <si>
    <t>сентябрь</t>
  </si>
  <si>
    <t>Венгрия</t>
  </si>
  <si>
    <t>октябрь-ноябрь</t>
  </si>
  <si>
    <t>ноябрь-декабрь/декабрь</t>
  </si>
  <si>
    <t>Каратэ (кадеты, кадетки, юноши, девушки)</t>
  </si>
  <si>
    <t>Таеквондо (юниоры, юниорки, молодежь)</t>
  </si>
  <si>
    <t>март-апрель/ апрель</t>
  </si>
  <si>
    <t>г. Нур-Султан/ г. Алматы/ г. Шымкент/АО/ Акмолинская обл.</t>
  </si>
  <si>
    <t>УТС перед Азии 3 этап</t>
  </si>
  <si>
    <t>Европа, Азия</t>
  </si>
  <si>
    <t>Таеквондо (кадеты, кадетки, юноши, девушки)</t>
  </si>
  <si>
    <t xml:space="preserve"> г. Алматы/АО/ Акмолинская обл.</t>
  </si>
  <si>
    <t>УТС перед СФП</t>
  </si>
  <si>
    <t>Октябрь по назначению</t>
  </si>
  <si>
    <t>УТС по СФП И ТТП</t>
  </si>
  <si>
    <t xml:space="preserve">Декабрь 
      Дубай, Турция, Ташкент
</t>
  </si>
  <si>
    <t>Шымкент ,Алтинская обл,Акмоинская обл,Алматинская обл</t>
  </si>
  <si>
    <t>Директор                                                                                                                                                                                   Могилевский А.В.</t>
  </si>
  <si>
    <t xml:space="preserve">Руководитель ПЭО                                                                                                                                                             Сулейменов  О. М. </t>
  </si>
  <si>
    <t>итого</t>
  </si>
  <si>
    <t>Марка автомашины</t>
  </si>
  <si>
    <t>Год выпуска</t>
  </si>
  <si>
    <t>Объем двигателя</t>
  </si>
  <si>
    <t>Налоговая ставка</t>
  </si>
  <si>
    <t>МРП на 2025 г</t>
  </si>
  <si>
    <t>Увеличение за каждую единицу превыш объема на 7 тенге</t>
  </si>
  <si>
    <t>Превышение объема</t>
  </si>
  <si>
    <t>Сумма в тенге</t>
  </si>
  <si>
    <t>Volkswagen Transporter</t>
  </si>
  <si>
    <t>10 п/м</t>
  </si>
  <si>
    <t>Всего, тыс. тенге</t>
  </si>
  <si>
    <t>Расчет произведен согласно статье 492 Налогового кодекса РК</t>
  </si>
  <si>
    <t>Suzuki Grand Vitara</t>
  </si>
  <si>
    <t>жекпе жек</t>
  </si>
  <si>
    <t xml:space="preserve">Расчет эмиссии в окружающую среду  
</t>
  </si>
  <si>
    <t>на 2023 год</t>
  </si>
  <si>
    <t>Элементы</t>
  </si>
  <si>
    <t>коэф</t>
  </si>
  <si>
    <t>МРП на 2023 год</t>
  </si>
  <si>
    <t>Сумма на 2023 г.,
 тыс. тенге</t>
  </si>
  <si>
    <t>Сумма на 2024 г.,
 тыс. тенге</t>
  </si>
  <si>
    <t>Сумма на 2025 г.,
 тыс. тенге</t>
  </si>
  <si>
    <t>Бензин (нефтяной, малосернистый)</t>
  </si>
  <si>
    <t>Итого в год</t>
  </si>
  <si>
    <t>* Согласно ст. 576 Налогового кодекса РК.</t>
  </si>
  <si>
    <t>* Согласно Проекта нормативов предельно допустимых выбросов</t>
  </si>
  <si>
    <t>Директор                                                                                                                                                    Могилевский А.В.</t>
  </si>
  <si>
    <t xml:space="preserve">Руководитель ПЭО                                                                                                                                      Сулейменов  О. М. </t>
  </si>
  <si>
    <t>I. Расчет налога на имущество</t>
  </si>
  <si>
    <t>Балансовая стоимость:</t>
  </si>
  <si>
    <t>тыс. тенге</t>
  </si>
  <si>
    <t>Расчет:</t>
  </si>
  <si>
    <t xml:space="preserve">Итого к уплате: </t>
  </si>
  <si>
    <t>Расчет налога на имущества согласно ст.521 Налогового кодекса РК</t>
  </si>
  <si>
    <t>II. Расчет земельного налога</t>
  </si>
  <si>
    <t>Площадь земельного участка:</t>
  </si>
  <si>
    <t>Га</t>
  </si>
  <si>
    <t>тенге</t>
  </si>
  <si>
    <t>Итого к уплате:</t>
  </si>
  <si>
    <t>Расчет налога на имущества согласно ст.505 Налогового кодекса РК,</t>
  </si>
  <si>
    <t>Финансовый год</t>
  </si>
  <si>
    <t>Фонд оплаты труда</t>
  </si>
  <si>
    <t>Итого, тыс. тенге</t>
  </si>
  <si>
    <t>Прочие товары (хозяйственные товары) =</t>
  </si>
  <si>
    <t>Итого:</t>
  </si>
  <si>
    <t>пара</t>
  </si>
  <si>
    <t>Ботинки борцовские</t>
  </si>
  <si>
    <t>шт</t>
  </si>
  <si>
    <t xml:space="preserve">Руководитель ПЭО                                                                                                                                                     Сулейменов  О. М. </t>
  </si>
  <si>
    <t>Наименование препарата</t>
  </si>
  <si>
    <t>уп</t>
  </si>
  <si>
    <t>фл</t>
  </si>
  <si>
    <t>Вольная, женская, греко-римская борьба</t>
  </si>
  <si>
    <t>Приобретение прочих запасов</t>
  </si>
  <si>
    <t xml:space="preserve">  №</t>
  </si>
  <si>
    <t>Ед. изм.</t>
  </si>
  <si>
    <t>Цена, 
без НДС</t>
  </si>
  <si>
    <t>Сумма,
тыс.тенге</t>
  </si>
  <si>
    <t>Плата за загрязнение окружающей среды =</t>
  </si>
  <si>
    <t>Марка автомобиля, Вид
топлива</t>
  </si>
  <si>
    <t>Количество служебного автотранспорта*</t>
  </si>
  <si>
    <t>Объем двигателя, в кубических сантиметрах</t>
  </si>
  <si>
    <t>Базовая норма литров/100 километров**</t>
  </si>
  <si>
    <t>Лимит пробега в месяц***</t>
  </si>
  <si>
    <t>Норма расходов горюче-смазочных материалов на лимит пробега в месяц (графа5/ 100)* графа 4</t>
  </si>
  <si>
    <t>Стоимость горюче-смазочных материалов на 1 литр</t>
  </si>
  <si>
    <t>Сумма расходов горюче-смазочных материалов на одну машину в месяц, в тысячах тенге (графа6 х графа7)</t>
  </si>
  <si>
    <t>Сумма расходов горюче-смазочных материалов на все машины в год, в тысячах тенге (графа 8 х графа2*12)</t>
  </si>
  <si>
    <t>Сумма расходов на поправочные коэффициенты**** (тенге)</t>
  </si>
  <si>
    <t>Бензин АИ-92 (7мес)</t>
  </si>
  <si>
    <t>Бензин АИ-92 (5мес)</t>
  </si>
  <si>
    <t>ДТ летнее (7мес)</t>
  </si>
  <si>
    <t>ДТ зимнее (5мес)</t>
  </si>
  <si>
    <t>Коды</t>
  </si>
  <si>
    <t>Год                                                                       </t>
  </si>
  <si>
    <t>Вид данных (прогноз, план, отчет)                  </t>
  </si>
  <si>
    <t>ПЛАН</t>
  </si>
  <si>
    <t>Функциональная группа                                    </t>
  </si>
  <si>
    <t>Культура, спорт, туризм и информационное пространство</t>
  </si>
  <si>
    <t>08</t>
  </si>
  <si>
    <t>Администратор программ                                 </t>
  </si>
  <si>
    <t>Комитет по делам спорта и физической культуры МКиС РК</t>
  </si>
  <si>
    <t>Государственное учреждение                           </t>
  </si>
  <si>
    <t>Программа                                                          </t>
  </si>
  <si>
    <t>Развитие спорта высших достижений</t>
  </si>
  <si>
    <t>036</t>
  </si>
  <si>
    <t>Подпрограмма</t>
  </si>
  <si>
    <t>Обеспечение развитие спорта высших достижений</t>
  </si>
  <si>
    <t xml:space="preserve">Специфика                                                            </t>
  </si>
  <si>
    <t>Тариф</t>
  </si>
  <si>
    <t>Норма в денежном выражении графа2хграфа3</t>
  </si>
  <si>
    <t>Количество единиц мощности</t>
  </si>
  <si>
    <t>единиц</t>
  </si>
  <si>
    <t>тысяч тенге</t>
  </si>
  <si>
    <t>Водоснабжение гор.и хол.вода</t>
  </si>
  <si>
    <t>Канализация</t>
  </si>
  <si>
    <t>Итого: (без учета НДС)</t>
  </si>
  <si>
    <t>кубический метр в год</t>
  </si>
  <si>
    <t>Тариф на электроэнергию</t>
  </si>
  <si>
    <t>Нормы годового расхода электроэнергии на единицу в денежном выражении графа1х графа2</t>
  </si>
  <si>
    <t>квт</t>
  </si>
  <si>
    <t xml:space="preserve">№  </t>
  </si>
  <si>
    <t>Ед.измерения КВт*в месяц</t>
  </si>
  <si>
    <t>Приложение 10                                                                  к Правилам составления и представления бюджетной заявки Форма 09-111</t>
  </si>
  <si>
    <t>      Расчет на оплату труда работников государственных учреждений физической культуры и спорта</t>
  </si>
  <si>
    <t>Оплата труда работников прочих государственных учреждений</t>
  </si>
  <si>
    <t>Наименование должностей</t>
  </si>
  <si>
    <t>Количество штатных единиц</t>
  </si>
  <si>
    <t>Сумма должностных окладов в месяц (графа2 х базовый должностной оклад х коэффициент+…+ графа20 х базовый должностной оклад х коэффициент)/ 1000</t>
  </si>
  <si>
    <t>Повышение за работу в сельской местности</t>
  </si>
  <si>
    <t>Сумма должностного оклада в месяц с учетом повышения графа22+ графа24</t>
  </si>
  <si>
    <t>Доплаты</t>
  </si>
  <si>
    <t>За работу в зоне экологического бедствия</t>
  </si>
  <si>
    <t>За ученую степень</t>
  </si>
  <si>
    <t>За работу на территориях радиационного риска</t>
  </si>
  <si>
    <t>Сумма доплат в месяц (графа27+ графа29+ графа31+ графа33+ графа35+ графа37+ графа39+ графа41+ графа43+ графа45+ графа47+ графа54+ графа56+ графа58+графа60)</t>
  </si>
  <si>
    <t>Надбавки</t>
  </si>
  <si>
    <t>Сумма надбавок в месяц (графа63+графа65+графа67+графа69+графа71)</t>
  </si>
  <si>
    <t>Итого основной заработной платы в месяц (графа25+графа61+графа72)</t>
  </si>
  <si>
    <t>Итого основной заработной платы в год графа73х12</t>
  </si>
  <si>
    <t>Управленческий персонал</t>
  </si>
  <si>
    <t>Основной, административный и вспомогательный персонал</t>
  </si>
  <si>
    <t>Всего графа2+ графа3+…+графа19 +графа20</t>
  </si>
  <si>
    <t>За непосредственное обеспечение высококачественного учебно-тренировочного процесса</t>
  </si>
  <si>
    <t>За подготовку чемпионов и призеров спортивных соревнований</t>
  </si>
  <si>
    <t>Работникам, занятым на работах с вредными (особо вредными) и опасными (особо опасными) условиями труда</t>
  </si>
  <si>
    <t>За работу в ночное время</t>
  </si>
  <si>
    <t>За работу в выходные и праздничные дни</t>
  </si>
  <si>
    <t>За сверхурочную работу</t>
  </si>
  <si>
    <t>За совмещение должностей (расширение зоны обслуживания)</t>
  </si>
  <si>
    <t>За выполнение обязанностей временно отсутствующего работника</t>
  </si>
  <si>
    <t>Количество работников, которым установлена доплата</t>
  </si>
  <si>
    <t>За статус "Старший"</t>
  </si>
  <si>
    <t>За заведование отделением (кабинетом)</t>
  </si>
  <si>
    <t>Прочие доплаты, утвержденные Постановлением Правительства Республики Казахстан от 31 декабря 2015 года № 1193</t>
  </si>
  <si>
    <t>За особые условия труда</t>
  </si>
  <si>
    <t>За почетное звание</t>
  </si>
  <si>
    <t>За классную квалификацию</t>
  </si>
  <si>
    <t>За спортивное звание</t>
  </si>
  <si>
    <t>Прочие надбавки, утвержденные Постановлением Правительства Республики Казахстан от 31 декабря 2015 года № 1193</t>
  </si>
  <si>
    <t>от 0 до 3</t>
  </si>
  <si>
    <t>от 3 до 6</t>
  </si>
  <si>
    <t>от 6 до 9</t>
  </si>
  <si>
    <t>от 9 до 12</t>
  </si>
  <si>
    <t>от 12 до 16</t>
  </si>
  <si>
    <t>от 16 до 20</t>
  </si>
  <si>
    <t>от 20 до 25</t>
  </si>
  <si>
    <t>от 0 до 1</t>
  </si>
  <si>
    <t>с 1 до 2</t>
  </si>
  <si>
    <t>с 2 до 3</t>
  </si>
  <si>
    <t>с 5 до 7</t>
  </si>
  <si>
    <t>с 13 до 16</t>
  </si>
  <si>
    <t>Количество работников, которым установлено данное повышение</t>
  </si>
  <si>
    <t>Общее Количество</t>
  </si>
  <si>
    <t>в том числе 2месячных расчетных показателей</t>
  </si>
  <si>
    <t>в том числе 1,75 месячный расчетный показатель</t>
  </si>
  <si>
    <t>в том числе 1,5 месячный расчетный показатель</t>
  </si>
  <si>
    <t>в том числе 1,25 месячный расчетный показатель</t>
  </si>
  <si>
    <t>в том числе 1 месячный расчетный показатель</t>
  </si>
  <si>
    <t>Сумма (месячный расчетный показательх (графа49х2+графа 50х1,75+графа51 х1,5+графа52х1,25+графа53х1))/1000</t>
  </si>
  <si>
    <t>Количество работни ков, которым установлена надбавка</t>
  </si>
  <si>
    <t>Количество работников, которым установлена надбавка</t>
  </si>
  <si>
    <t>тысячтенге</t>
  </si>
  <si>
    <t>А1-1</t>
  </si>
  <si>
    <t>А1-1-1</t>
  </si>
  <si>
    <t>А2-1</t>
  </si>
  <si>
    <t>А2-1-1</t>
  </si>
  <si>
    <t>В2-2</t>
  </si>
  <si>
    <t>В2-3</t>
  </si>
  <si>
    <t>В3-1</t>
  </si>
  <si>
    <t>В3-4</t>
  </si>
  <si>
    <t>В4-1</t>
  </si>
  <si>
    <t>О системе оплаты труда гражданских служащих, работников организаций, содержащихся за счет средств государственного бюджета, работников казенных предприятий
Постановление Правительства Республики Казахстан от 31 декабря 2015 года № 1193.Об утверждении Реестра должностей гражданских служащих в сферах культуры, образования в области культуры, развития языков, архивного дела и документационного обеспечения управления, физической культуры и спорта Приказ и.о. Министра культуры и спорта Республики Казахстан от 31 декабря 2015 года № 419. Зарегистрирован в Министерстве юстиции Республики Казахстан 23 февраля 2016 года № 13179.</t>
  </si>
  <si>
    <t xml:space="preserve">Директор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</si>
  <si>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Руководитель ПЭО                                                                                                                                                                                                                                   </t>
  </si>
  <si>
    <t>банка</t>
  </si>
  <si>
    <t>Перчатки латексные, опудренные, размер M (7-8), белые нестерильные</t>
  </si>
  <si>
    <t>Фонд оплаты труда (12 мес)</t>
  </si>
  <si>
    <t>1. Всего затрат  (тыс.тенге)</t>
  </si>
  <si>
    <t>Компенсационные выплаты</t>
  </si>
  <si>
    <t>Социальный налог</t>
  </si>
  <si>
    <t>Социальные отчисления в Государственный фонд социального страхование</t>
  </si>
  <si>
    <t>Взносы на обязательное страхование</t>
  </si>
  <si>
    <t xml:space="preserve">Медицинское социальное страхование </t>
  </si>
  <si>
    <t>Приобретение  топлива,горюче-смазочных материалов</t>
  </si>
  <si>
    <t>Приобретение медикаментов и прочих средств медицинского назначения</t>
  </si>
  <si>
    <t>Оплата коммунальных услуг</t>
  </si>
  <si>
    <t>Оплата за услуги связи</t>
  </si>
  <si>
    <t>Оплата за аренду помещения</t>
  </si>
  <si>
    <t>Оплата прочих услуг и работ</t>
  </si>
  <si>
    <t>метр</t>
  </si>
  <si>
    <t>Расчет налога на имущества согласно ст.510 Налогового кодекса РК</t>
  </si>
  <si>
    <t xml:space="preserve"> 2 класс профессионального риска               коэффицент</t>
  </si>
  <si>
    <t>Количество единиц</t>
  </si>
  <si>
    <t>Размер Коэффициента годовой страховой премии*</t>
  </si>
  <si>
    <t>коэффициент</t>
  </si>
  <si>
    <t>Легковые автомобили, автобусы, микроавтобусы:</t>
  </si>
  <si>
    <t>до 4 пассажирских мест включительно</t>
  </si>
  <si>
    <t>свыше 4 до 7 пассажирски</t>
  </si>
  <si>
    <t>х мест включительно</t>
  </si>
  <si>
    <t>свыше 7 до 16 пассажирских мест включительно</t>
  </si>
  <si>
    <t>свыше 16 до 30 пассажирских мест включительно</t>
  </si>
  <si>
    <t>свыше 30 пассажирских мест</t>
  </si>
  <si>
    <t>Трамваи, троллейбусы</t>
  </si>
  <si>
    <t>Закон Республики Казахстан от 1 июля 2003 года № 444-II</t>
  </si>
  <si>
    <t>Об обязательном страховании гражданско-правовой ответственности перевозчика перед пассажирами</t>
  </si>
  <si>
    <t>Директор</t>
  </si>
  <si>
    <t>7</t>
  </si>
  <si>
    <t>Об утверждении Методики нормативов питания и фармакологического обеспечения спортсменов, в том числе военнослужащих всех категорий и сотрудников правоохранительных и специальных государственных органов, в период учебно-тренировочного процесса и спортивных мероприятий
Приказ Министра культуры и спорта Республики Казахстан от 22 ноября 2014 года № 107. Зарегистрирован в Министерстве юстиции Республики Казахстан 25 декабря 2014 года № 10005, приложение № 3.</t>
  </si>
  <si>
    <t>№п/п</t>
  </si>
  <si>
    <t xml:space="preserve">№п/п по прил3 к методике нормат питан и фармакол.обеспеч </t>
  </si>
  <si>
    <t>Ед.изм.</t>
  </si>
  <si>
    <t>1.1</t>
  </si>
  <si>
    <t>1.5</t>
  </si>
  <si>
    <t>3.2</t>
  </si>
  <si>
    <t xml:space="preserve"> Фосфокреатин (неотон)</t>
  </si>
  <si>
    <t>4.1</t>
  </si>
  <si>
    <t xml:space="preserve">Лорноксикам 4 мг№10 </t>
  </si>
  <si>
    <t>4.6</t>
  </si>
  <si>
    <t>Натрия хлорид  100 мл</t>
  </si>
  <si>
    <t>5.6</t>
  </si>
  <si>
    <t>6.1</t>
  </si>
  <si>
    <t>6.2</t>
  </si>
  <si>
    <t>7.1</t>
  </si>
  <si>
    <t>7.2</t>
  </si>
  <si>
    <t>Вата стерильная 50г</t>
  </si>
  <si>
    <t>7.3</t>
  </si>
  <si>
    <t>Лейкопластырь санипласт №100</t>
  </si>
  <si>
    <t>7.5</t>
  </si>
  <si>
    <t>7.6</t>
  </si>
  <si>
    <t>7.9</t>
  </si>
  <si>
    <t xml:space="preserve">Система для инфузий </t>
  </si>
  <si>
    <t>7.14</t>
  </si>
  <si>
    <t>Аммиак 10%- 20 мл</t>
  </si>
  <si>
    <t>Активированный уголь</t>
  </si>
  <si>
    <t>Лоратадин 10 мг, №10 таб</t>
  </si>
  <si>
    <t>Омепразол 20 мг №30</t>
  </si>
  <si>
    <t xml:space="preserve">уп </t>
  </si>
  <si>
    <t>РГКП "Центр олимпийской подготовки по видам борьбы</t>
  </si>
  <si>
    <t>Общая сумма всего:</t>
  </si>
  <si>
    <t>Доплата работникам, занятым на тяж. физ. раб. и раб.с вред.и опасн. условиями труда</t>
  </si>
  <si>
    <t>1.Администрация</t>
  </si>
  <si>
    <t>Ушкемпиров Ж.Ж.</t>
  </si>
  <si>
    <t>Жаксыбеков А.</t>
  </si>
  <si>
    <t>Шарденбаева Л.К</t>
  </si>
  <si>
    <t>Заместитель директора по административно-хозяйственной части</t>
  </si>
  <si>
    <t>Лаубаев А.</t>
  </si>
  <si>
    <t>Руководитель юридического отдела</t>
  </si>
  <si>
    <t>Казангапов Талгат Болсынбекович</t>
  </si>
  <si>
    <t xml:space="preserve">Юрист </t>
  </si>
  <si>
    <t>Әбдәзім Тимур Хасанулы</t>
  </si>
  <si>
    <t xml:space="preserve">с 16 до 20 </t>
  </si>
  <si>
    <t>Юрист</t>
  </si>
  <si>
    <t>Омирбекулы Руслан</t>
  </si>
  <si>
    <t>Руководитель  отдела кадровой работы</t>
  </si>
  <si>
    <t>Мусина Г.</t>
  </si>
  <si>
    <t xml:space="preserve">с 9 до 12 </t>
  </si>
  <si>
    <t xml:space="preserve">Инспектор по кадрам </t>
  </si>
  <si>
    <t>Коржумбаева  Баян М.</t>
  </si>
  <si>
    <t>Инспектор по архивному делу</t>
  </si>
  <si>
    <t>Куралбаева Б.</t>
  </si>
  <si>
    <t>Главный бухгалтер</t>
  </si>
  <si>
    <t>Балапанова А.С.</t>
  </si>
  <si>
    <t>Заместитель главного бухгалтера</t>
  </si>
  <si>
    <t>Кулынтаева С.</t>
  </si>
  <si>
    <t xml:space="preserve">Бухгалтер расчетного стола </t>
  </si>
  <si>
    <t>Искакова Салтанат Айдарбековна</t>
  </si>
  <si>
    <t>Кожантаева М.А.</t>
  </si>
  <si>
    <t>Удербаева Г.А.</t>
  </si>
  <si>
    <t xml:space="preserve">Кассир </t>
  </si>
  <si>
    <t>Азатбай Маржан Мұқтарқызы</t>
  </si>
  <si>
    <t xml:space="preserve">с 3 до 5 </t>
  </si>
  <si>
    <t xml:space="preserve">Куанышпаева Айганым Куанышевна </t>
  </si>
  <si>
    <t xml:space="preserve">с 5 до 7 </t>
  </si>
  <si>
    <t>Руководитель планово-экономического отдела</t>
  </si>
  <si>
    <t>Жокебаева М.</t>
  </si>
  <si>
    <t xml:space="preserve">Экономист </t>
  </si>
  <si>
    <t>Елемес А.</t>
  </si>
  <si>
    <t>Касенов Бахытжан</t>
  </si>
  <si>
    <t xml:space="preserve">Менеджер по государственным закупкам </t>
  </si>
  <si>
    <t>Вакансия</t>
  </si>
  <si>
    <t xml:space="preserve">Инспектор по учету ТМЦ </t>
  </si>
  <si>
    <t>Сейльханова Гульнара Амангельдиевна</t>
  </si>
  <si>
    <t>Руководитель учебно-методического отдела</t>
  </si>
  <si>
    <t>Оразалина Г.</t>
  </si>
  <si>
    <t xml:space="preserve">Методисты по видам спорта </t>
  </si>
  <si>
    <t>Есекеев Лескен Құдайбергенұлы</t>
  </si>
  <si>
    <t xml:space="preserve">с 2 до 3 </t>
  </si>
  <si>
    <t xml:space="preserve">с 1 до 2 </t>
  </si>
  <si>
    <t xml:space="preserve">Дуйсеналиев Нұрдаулет Ержанұлы </t>
  </si>
  <si>
    <t xml:space="preserve">Қатымқанов Нығметжан Есенғараұлы </t>
  </si>
  <si>
    <t xml:space="preserve">Тукенов Конысбек Каримович </t>
  </si>
  <si>
    <t>Кебеспаев Алмат Кабдрашевич</t>
  </si>
  <si>
    <t>Тұрсынов Жарқын Сарсенғалиұлы</t>
  </si>
  <si>
    <t>Жанбиров Асхат Бахытұлы</t>
  </si>
  <si>
    <t>Сарсекеев Айдын Аскарович</t>
  </si>
  <si>
    <t>Касымханов Муратбек Кусаинулы</t>
  </si>
  <si>
    <t>свыше 25 лет</t>
  </si>
  <si>
    <t>Байгулов Аслан Касымбекович</t>
  </si>
  <si>
    <t xml:space="preserve">с 12 до 16 </t>
  </si>
  <si>
    <t>Ниязбеков Даулет Шораевич</t>
  </si>
  <si>
    <t xml:space="preserve">Кешубаев Еркебұлан Нұрланұлы </t>
  </si>
  <si>
    <t>Калиев Расул Бейсенович</t>
  </si>
  <si>
    <t>Абиров Жанбыл Еламанович</t>
  </si>
  <si>
    <t>Жаманбаев Аслан Есқабылұлы</t>
  </si>
  <si>
    <t>Садыбеков Арман Мейрамханович</t>
  </si>
  <si>
    <t xml:space="preserve">с 6 до 9 </t>
  </si>
  <si>
    <t>Ермаков Адилет Ермакович</t>
  </si>
  <si>
    <t>Алимбетова Надежда Андреевна</t>
  </si>
  <si>
    <t>Жақсыбай Қуаныш Орынбасарұлы</t>
  </si>
  <si>
    <t xml:space="preserve">Дынбаева Мируерт Балтабаевна </t>
  </si>
  <si>
    <t>Сайлауов Бахытжан Куанышбекович</t>
  </si>
  <si>
    <t>Баймаханбетов Мейрлан Кайратович</t>
  </si>
  <si>
    <t xml:space="preserve">с 3 до 6 </t>
  </si>
  <si>
    <t>Имамбеков Ермек Абуевич</t>
  </si>
  <si>
    <t>Хатип Арсен Ғабиденұлы</t>
  </si>
  <si>
    <t>Калтаев Мейржан Дуйсенбекович</t>
  </si>
  <si>
    <t xml:space="preserve">Вешагуров Ибрагим Исаевич </t>
  </si>
  <si>
    <t>Несипберлинов Алмас Байтуганович</t>
  </si>
  <si>
    <t>Ризаев Давранбек Пахритдинович</t>
  </si>
  <si>
    <t>Суранов Мырзагали Жанабайулы</t>
  </si>
  <si>
    <t xml:space="preserve">Тогузбаев Рауан Канатович </t>
  </si>
  <si>
    <t>Қажымұқан Шаттық Айдарханұлы</t>
  </si>
  <si>
    <t>Халидов Халид Багадинович</t>
  </si>
  <si>
    <t>Врач</t>
  </si>
  <si>
    <t>Специализированная медсестра (массажист)</t>
  </si>
  <si>
    <t>Карипова Айткуль Турсынбаевна</t>
  </si>
  <si>
    <t xml:space="preserve">Медицинская сестра  </t>
  </si>
  <si>
    <t>Жаңабай Әсем Арыстангалиқызы</t>
  </si>
  <si>
    <t>Психолог</t>
  </si>
  <si>
    <t>Руководитель отдела</t>
  </si>
  <si>
    <t xml:space="preserve">Старший инспектор по административно-хозяйственной части </t>
  </si>
  <si>
    <t>Матенов Данияр Балгабаевич</t>
  </si>
  <si>
    <t xml:space="preserve">Инспектор по контролю прилегающей территории </t>
  </si>
  <si>
    <t>Инспектор по контролю за внутренними помещениями</t>
  </si>
  <si>
    <t>Утеулиева Айдын Ногайбаевна</t>
  </si>
  <si>
    <t>Менеджер по административно-хозяйственной работе</t>
  </si>
  <si>
    <t xml:space="preserve">Елеухан Батиха </t>
  </si>
  <si>
    <t xml:space="preserve">с 0 до 1 </t>
  </si>
  <si>
    <t xml:space="preserve">Плотник </t>
  </si>
  <si>
    <t xml:space="preserve">Касымов Тангтар Машрабович </t>
  </si>
  <si>
    <t xml:space="preserve"> 4 разряд</t>
  </si>
  <si>
    <t>Рабочий по обслуживанию зданий</t>
  </si>
  <si>
    <t>4 разряд</t>
  </si>
  <si>
    <t xml:space="preserve">Механик по транспорту </t>
  </si>
  <si>
    <t xml:space="preserve">Водитель </t>
  </si>
  <si>
    <t>Мухаметказинов Баймурат Таттимбетович</t>
  </si>
  <si>
    <t xml:space="preserve">Главный инженер информационных технологий и медиаоборудования </t>
  </si>
  <si>
    <t>Саменбек Дәулетбек Сакенбекұлы</t>
  </si>
  <si>
    <t>Инженер звукового оборудования</t>
  </si>
  <si>
    <t>Инженер медиаоборудования</t>
  </si>
  <si>
    <t>Мураткасимов Данияр Бахытжанұлы</t>
  </si>
  <si>
    <t xml:space="preserve">Инженер компьютерных сетей </t>
  </si>
  <si>
    <t>Ислямов Адилхан Муратович</t>
  </si>
  <si>
    <t xml:space="preserve">Руководитель службы по обслуживанию и эксплуатации объекта </t>
  </si>
  <si>
    <t>Абельдинов Хасен Кенесович</t>
  </si>
  <si>
    <t>Главный инженер</t>
  </si>
  <si>
    <t xml:space="preserve">Старший инженер производственно-технического обеспечения </t>
  </si>
  <si>
    <t>Сартаев Самат Мақсатұлы</t>
  </si>
  <si>
    <t xml:space="preserve">Инженер производственно-технического обеспечения </t>
  </si>
  <si>
    <t xml:space="preserve">Главный инженер по энергетике </t>
  </si>
  <si>
    <t xml:space="preserve">Инженер по энергетике </t>
  </si>
  <si>
    <t xml:space="preserve">Мастер  по контрольно-измерительным приборам и автоматике </t>
  </si>
  <si>
    <t>Турлубеков Марат Амантаевич</t>
  </si>
  <si>
    <t xml:space="preserve">Электромонтер по ремонту и обслуживанию электрооборудования </t>
  </si>
  <si>
    <t>Савинок Степан Сергеевич</t>
  </si>
  <si>
    <t>6 разряд</t>
  </si>
  <si>
    <t>Старший инженер по теплоснабжению, водоснабжению и канализации</t>
  </si>
  <si>
    <t>Костровский Александр Сергеевич</t>
  </si>
  <si>
    <t xml:space="preserve">Инженер по теплотехнике </t>
  </si>
  <si>
    <t>Рахимжанов Мухтар Абитович</t>
  </si>
  <si>
    <t xml:space="preserve">Инженер по водоснабжению и канализации </t>
  </si>
  <si>
    <t xml:space="preserve">Инженер по вентиляции и климотехнике </t>
  </si>
  <si>
    <t>Бекжанов Нуржан Ержанович</t>
  </si>
  <si>
    <t xml:space="preserve">Слесарь-сантехник </t>
  </si>
  <si>
    <t>Башкенов Азамат Хаменович</t>
  </si>
  <si>
    <t>Жунусов Кайрат Камелович</t>
  </si>
  <si>
    <t>Орумбаев Тохтар Омирсерикович</t>
  </si>
  <si>
    <t xml:space="preserve">Инспектор по спортивным залам </t>
  </si>
  <si>
    <t>Аскаров Нурдаулет</t>
  </si>
  <si>
    <t>Махатов Думан Маманович</t>
  </si>
  <si>
    <t xml:space="preserve">Инспектор по арене </t>
  </si>
  <si>
    <t>Масанов Данияр Елубаевич</t>
  </si>
  <si>
    <t>с 0 до 1</t>
  </si>
  <si>
    <t>Руководитель отдела маркетинга и рекламы</t>
  </si>
  <si>
    <t xml:space="preserve">Инспектор по маркетингу </t>
  </si>
  <si>
    <t xml:space="preserve">Заведующий гостиницей </t>
  </si>
  <si>
    <t>Ножкина Маргарита Александровна</t>
  </si>
  <si>
    <t>Атажанова Мунира Бахадырқызы</t>
  </si>
  <si>
    <t>Дарибаева Мира Умирбаевна</t>
  </si>
  <si>
    <t xml:space="preserve">Менеджер по гостиничному сервису </t>
  </si>
  <si>
    <t xml:space="preserve">Горничная </t>
  </si>
  <si>
    <t>Норина Наталья Викторовна</t>
  </si>
  <si>
    <t>2 разряд</t>
  </si>
  <si>
    <t xml:space="preserve">Техник прачечной (оператор) </t>
  </si>
  <si>
    <t xml:space="preserve">Заведующий фитнес центра </t>
  </si>
  <si>
    <t>Турлыбаев Нуржан Бекжанович</t>
  </si>
  <si>
    <t xml:space="preserve">Инспектор по работе с клиентами </t>
  </si>
  <si>
    <t>Аскерова Жанар Ерболовна</t>
  </si>
  <si>
    <t xml:space="preserve">Мермуханова Динара Жилкибаевна </t>
  </si>
  <si>
    <t xml:space="preserve">Инспектор фитнес центра </t>
  </si>
  <si>
    <t>Шабаев Айдар Алибекович</t>
  </si>
  <si>
    <t xml:space="preserve">Инструктор по плаванию </t>
  </si>
  <si>
    <t>Толенов Алибек Жанатулы</t>
  </si>
  <si>
    <t xml:space="preserve">Инструктор тренажерного зала </t>
  </si>
  <si>
    <t xml:space="preserve">Кастелянша </t>
  </si>
  <si>
    <t>Спанова Гулим Сабыржановна</t>
  </si>
  <si>
    <t xml:space="preserve">Заведующий столовой </t>
  </si>
  <si>
    <t>Байгозина Назерке Жомартовна</t>
  </si>
  <si>
    <t xml:space="preserve">Менеджер по залу </t>
  </si>
  <si>
    <t>Мұсахан Асылзат Дюсеханқызы</t>
  </si>
  <si>
    <t xml:space="preserve">Повар горячего цеха </t>
  </si>
  <si>
    <t>Джумабекова Меруерт Нуршириевна</t>
  </si>
  <si>
    <t xml:space="preserve">Повар холодного цеха </t>
  </si>
  <si>
    <t>Туржанова Мария Букенхановна</t>
  </si>
  <si>
    <t xml:space="preserve">Повар-мясник </t>
  </si>
  <si>
    <t xml:space="preserve">Повар-пекарь </t>
  </si>
  <si>
    <t>Байтемирова Жулдыз Нагашибаевна</t>
  </si>
  <si>
    <t xml:space="preserve">Кухонный рабочий </t>
  </si>
  <si>
    <t>Аманжолова Кымбат</t>
  </si>
  <si>
    <t xml:space="preserve">Инженер Б и ОТ </t>
  </si>
  <si>
    <t>Магзумов Талгат Ережепович</t>
  </si>
  <si>
    <t>Бралин Арман Айтпаевич</t>
  </si>
  <si>
    <t xml:space="preserve">Старший инспектор службы безопасности </t>
  </si>
  <si>
    <t>Алыпкашов Ерлан Хаиржанович</t>
  </si>
  <si>
    <t>Инспектор по диспетчеризации</t>
  </si>
  <si>
    <t xml:space="preserve">Тонкерис Нурболат </t>
  </si>
  <si>
    <t>Шаймарданов Наиль Флюрович</t>
  </si>
  <si>
    <t>Карбаев Алибек Каиргельдинович</t>
  </si>
  <si>
    <t>Директор                                                                                                                                                                                Ушкемпиров Ж.Ж.</t>
  </si>
  <si>
    <t xml:space="preserve">Руководитель ПЭО                                                                                                                                                              Жокебаева М.  </t>
  </si>
  <si>
    <t xml:space="preserve"> 2.Отдел бухгалтерского учета</t>
  </si>
  <si>
    <t>3.Планово-экономический отдел</t>
  </si>
  <si>
    <t>Зекенаева А.</t>
  </si>
  <si>
    <t xml:space="preserve">Инспектор документационного обеспечения </t>
  </si>
  <si>
    <t>Кулсарина З.У.</t>
  </si>
  <si>
    <t>Сапакул Айбек Аскарулы</t>
  </si>
  <si>
    <t>Старший тренер по греко-римской борьбе (молодеж)</t>
  </si>
  <si>
    <t xml:space="preserve">Старший тренер по дзюдо (юноши) </t>
  </si>
  <si>
    <t>Жанбиров Нурболат Наурызгалиевич</t>
  </si>
  <si>
    <t>Матенов Д.</t>
  </si>
  <si>
    <t>Биманова Динара Сериковна</t>
  </si>
  <si>
    <t>Менеджер по гостиничному сервису</t>
  </si>
  <si>
    <t>Еркебуланов А.</t>
  </si>
  <si>
    <t>Жарыстың атауы</t>
  </si>
  <si>
    <t>Өткізу мерзімі</t>
  </si>
  <si>
    <t>Өткізу орны</t>
  </si>
  <si>
    <t>Күндер саны</t>
  </si>
  <si>
    <t>Спортшылар</t>
  </si>
  <si>
    <t>Ел ішіндегі іссапарлар</t>
  </si>
  <si>
    <t>Ел шегіндегі барлық шығыстар</t>
  </si>
  <si>
    <t>ҚР сыртындағы іссапарлар</t>
  </si>
  <si>
    <t>Барлығы</t>
  </si>
  <si>
    <t>Жаттықтырушылар және басқа да қатысушылар.</t>
  </si>
  <si>
    <t>Тұру</t>
  </si>
  <si>
    <t>Спортшылардың тамақтануы</t>
  </si>
  <si>
    <t>Тәулік ақы жаттықтырушылар және басқа да қатысушылар</t>
  </si>
  <si>
    <t>Жол жүру</t>
  </si>
  <si>
    <t>Басқа шығындар</t>
  </si>
  <si>
    <t>Тәулік ақы</t>
  </si>
  <si>
    <t>Сақтандыру</t>
  </si>
  <si>
    <t>Автокөлік пен спорт ғимараттарын жалға алу ақысы, басқалар</t>
  </si>
  <si>
    <t>Елден тыс барлық шығындар</t>
  </si>
  <si>
    <t>1 адам.</t>
  </si>
  <si>
    <t>Сома</t>
  </si>
  <si>
    <t>1 тәулік сома</t>
  </si>
  <si>
    <t>Екі бағытта</t>
  </si>
  <si>
    <t>Әйелдер күресі (кадет қыздар, жасөспірімдер)</t>
  </si>
  <si>
    <t>Халықаралық жарысқа қатысу</t>
  </si>
  <si>
    <t>сәуір-мамыр/мамыр</t>
  </si>
  <si>
    <t>Түркия</t>
  </si>
  <si>
    <t>Азия чемпионаты алдындағы ОЖЖ 1 кезең</t>
  </si>
  <si>
    <t>маусым</t>
  </si>
  <si>
    <t>Ақмола обл./Алматы обл./Түркістан обл./Астана қ./ Алматы қ./Шымкент қ./ Жамбыл обл./Жетісу обл.</t>
  </si>
  <si>
    <t xml:space="preserve">Азия чемпионаты алдыңдағы ОЖЖ 2 кезең </t>
  </si>
  <si>
    <t xml:space="preserve">Азия чемпионаты </t>
  </si>
  <si>
    <t>Иордания</t>
  </si>
  <si>
    <t>Әлем чемпионаты алдындағы оқу жаттығу жиыны</t>
  </si>
  <si>
    <t>маусым-шілде/шілде</t>
  </si>
  <si>
    <t>Азия чемпионаты U15</t>
  </si>
  <si>
    <t>Әлем чемпионаты</t>
  </si>
  <si>
    <t>шілде-тамыз/тмаыз</t>
  </si>
  <si>
    <t>Әйелдер күресі (юниор қыздар, жастар)</t>
  </si>
  <si>
    <t>ХЖ қатысу</t>
  </si>
  <si>
    <t>сәуір-мамыр</t>
  </si>
  <si>
    <t>мамыр</t>
  </si>
  <si>
    <t>Болгария</t>
  </si>
  <si>
    <t>Румыния</t>
  </si>
  <si>
    <t>АЧ алдындағы ОЖЖ</t>
  </si>
  <si>
    <t>маусым/маусым-шілде</t>
  </si>
  <si>
    <t>ӘЧ алдындағы ОЖЖ</t>
  </si>
  <si>
    <t>шілде-тамыз/тамыз</t>
  </si>
  <si>
    <t>тамыз</t>
  </si>
  <si>
    <t>Польша</t>
  </si>
  <si>
    <t>Дзюдо кадеттер (жасөспірімдер)</t>
  </si>
  <si>
    <t>ХЖ дайындық бойынша ЖДД және АДД-нан ОЖЖ</t>
  </si>
  <si>
    <t>ақпан-наурыз</t>
  </si>
  <si>
    <t>Ақмола обл. / Жетісу обл./АО / Түркістан обл. / Қарағанды обл. / Астана қ.,/ Алматы қ. / Шымкент қ. / Жамбыл обл.</t>
  </si>
  <si>
    <t>Спортшылардың жай-күйін тексеру бойынша ОЖЖ</t>
  </si>
  <si>
    <t>наурыз/наурыз-сәуір/сәуір</t>
  </si>
  <si>
    <t>Алматы қ.</t>
  </si>
  <si>
    <t>ХЖ және ХЖЛ-ге қатысу</t>
  </si>
  <si>
    <t>наурыз</t>
  </si>
  <si>
    <t>сәуір</t>
  </si>
  <si>
    <t>Чехия/Германия/Грузия/Франция</t>
  </si>
  <si>
    <t>маусым-шілде/маусым/шілде</t>
  </si>
  <si>
    <t xml:space="preserve">АЧ дайындық бойынша  ЖДД және АДД-нан ОЖЖ </t>
  </si>
  <si>
    <t>шілде</t>
  </si>
  <si>
    <t>Моңғолия/Грузия/Әзірбайжан/Корея</t>
  </si>
  <si>
    <t>ӘЧ дайындық бойынша ЖДД және АДД-нан ОЖЖ</t>
  </si>
  <si>
    <t>ӘЧ қатысу</t>
  </si>
  <si>
    <t>ХЖ-қатысу</t>
  </si>
  <si>
    <t>қазан</t>
  </si>
  <si>
    <t>Дзюдо юниорлар (жастар)</t>
  </si>
  <si>
    <t>ХЖ дайындық бойынша АДД-нан ОЖЖ (ерлер құрамасымен)</t>
  </si>
  <si>
    <t>қаңтар / ақпан</t>
  </si>
  <si>
    <t>Ақмола обл. / АО/Түркістан обл. / Астана қ., / Алматы қ. / Шымкент қ./Қарағанды обл. / Жамбыл обл</t>
  </si>
  <si>
    <t xml:space="preserve">ХЖ дайындық бойынша АДД-нан ОЖЖ </t>
  </si>
  <si>
    <t>наурыз/наурыз-сәуір</t>
  </si>
  <si>
    <t>Португалия</t>
  </si>
  <si>
    <t>Спортшыларды тексеру бойынша ОЖЖ</t>
  </si>
  <si>
    <t xml:space="preserve">ХЖ дайындық бойынша ЖДДжәне АДД-нан ОЖЖ </t>
  </si>
  <si>
    <t>Таеквондо (юниорлар, жастар, ұлдар қыздар)</t>
  </si>
  <si>
    <t xml:space="preserve"> ХТ President Cup G-2</t>
  </si>
  <si>
    <t>ақпан</t>
  </si>
  <si>
    <t>Стамбул (Түркия)</t>
  </si>
  <si>
    <t xml:space="preserve"> ХТ Turkish open G-2</t>
  </si>
  <si>
    <t>Стамбул(Түркия)</t>
  </si>
  <si>
    <t xml:space="preserve"> ХТ алдындағы АДД және ЖДД бойынша ОЖЖ</t>
  </si>
  <si>
    <t xml:space="preserve"> Сеул қ. (Оңтүстік Корея) </t>
  </si>
  <si>
    <t>ХТ Austria open G-2</t>
  </si>
  <si>
    <t>Инсбург қ. (Австрия)</t>
  </si>
  <si>
    <t xml:space="preserve"> АЧ алдындағы АДД және ЖДД бойынша ОЖЖ 1-кезең</t>
  </si>
  <si>
    <t xml:space="preserve">Алматы, Астана </t>
  </si>
  <si>
    <t xml:space="preserve"> АЧ алдындағы АДД және ЖДД бойынша ОЖЖ 2-кезең</t>
  </si>
  <si>
    <t>қырқүйек</t>
  </si>
  <si>
    <t>Бейрут (Ливан)</t>
  </si>
  <si>
    <t>Таеквондо (кадеттер, жасөспірімдер, ұлдар қыздар)</t>
  </si>
  <si>
    <t>ХТ Фуджейра опен  G-2</t>
  </si>
  <si>
    <t>қаңтар-ақпан</t>
  </si>
  <si>
    <t>Фуйджера (БАЭ)</t>
  </si>
  <si>
    <t xml:space="preserve">ӘЧ </t>
  </si>
  <si>
    <t>Босния и Герцеговина</t>
  </si>
  <si>
    <t xml:space="preserve">АЧ </t>
  </si>
  <si>
    <t>Каратэ (юниорлар, жастар)</t>
  </si>
  <si>
    <t xml:space="preserve">ХТ </t>
  </si>
  <si>
    <t xml:space="preserve">ақпан                                       </t>
  </si>
  <si>
    <t>Фуджейра, ОАЭ</t>
  </si>
  <si>
    <t xml:space="preserve">наурыз                      
</t>
  </si>
  <si>
    <t xml:space="preserve"> Турция</t>
  </si>
  <si>
    <t>ХТ алдындағы ОЖЖ</t>
  </si>
  <si>
    <t xml:space="preserve">сәуір
</t>
  </si>
  <si>
    <t>Астана, Алматы, Шымкент, Ақмола облысы, Алматы облысы, Түркістан облысы</t>
  </si>
  <si>
    <t>ХТ</t>
  </si>
  <si>
    <t xml:space="preserve">сәуір/сәуір-мамыр                                
</t>
  </si>
  <si>
    <t>Ла-Корунья, Испания</t>
  </si>
  <si>
    <t xml:space="preserve">маусым
</t>
  </si>
  <si>
    <t xml:space="preserve">ХЖЛ және ХЖ </t>
  </si>
  <si>
    <t xml:space="preserve">маусым-шілде                                                           </t>
  </si>
  <si>
    <t>Пореч, Хорватия</t>
  </si>
  <si>
    <t>Каратэ (кадеттер, жасөспірімдер)</t>
  </si>
  <si>
    <t xml:space="preserve">ақпан                                                       </t>
  </si>
  <si>
    <t xml:space="preserve">сәуір
</t>
  </si>
  <si>
    <t xml:space="preserve">сәуір/сәуір-мамыр                                 
</t>
  </si>
  <si>
    <t xml:space="preserve">маусым
</t>
  </si>
  <si>
    <t>ХЖЛ және ХЖ қатысу</t>
  </si>
  <si>
    <t xml:space="preserve">маусым-шілде                                                                  </t>
  </si>
  <si>
    <t>Грек-рим күресі (кадеттер, жасөспірімдер)</t>
  </si>
  <si>
    <t>Халықаралық жарыс алдындағы арнайы дене даярлығы бойынша оқу-жаттығу жиыны</t>
  </si>
  <si>
    <t>наурыз/сәуір</t>
  </si>
  <si>
    <t>Астана қ./Алматы қ./Шымкент қ./Ақмола обл./Алматы обл./Жетісу обл./Жамбыл обл./Түркістан обл.</t>
  </si>
  <si>
    <t xml:space="preserve">Азия чемпионаты алдындағы оқу-жаттығу жиыны </t>
  </si>
  <si>
    <t xml:space="preserve">Азия чемпионаты U17 </t>
  </si>
  <si>
    <t>Әлем чемпионаты алдындағы оқу-жаттығу жиыны 1-кезең</t>
  </si>
  <si>
    <t>Қырғызстан</t>
  </si>
  <si>
    <t>Әлем чемпионаты алдындағы оқу-жаттығу жиыны 2-кезең</t>
  </si>
  <si>
    <t>маусым/шілде/шілде-тамыз</t>
  </si>
  <si>
    <t>Әлем чемпионаты U17</t>
  </si>
  <si>
    <t>қазан/қазан-қараша/қараша-желтоқсан/желтоқсан</t>
  </si>
  <si>
    <t>Грек-рим күресі (юниорлар, жастар)</t>
  </si>
  <si>
    <t>Жалпы дене даярлығы бойынша оқу-жаттығу жиыны</t>
  </si>
  <si>
    <t xml:space="preserve">Әзірбайжан </t>
  </si>
  <si>
    <t>Астана қ.</t>
  </si>
  <si>
    <t>Азия чемпионаты алдындағы оқу-жаттығу жиыны 1-кезең</t>
  </si>
  <si>
    <t>мамыр-маусым</t>
  </si>
  <si>
    <t>Азия чемпионаты алдындағы оқу-жаттығу жиыны 2-кезең</t>
  </si>
  <si>
    <t>Азия чемпионаты U20</t>
  </si>
  <si>
    <t>Әлем чемпионаты алдындағы оқу-жаттығу жиыны</t>
  </si>
  <si>
    <t>шілде/шілде-тамыз/тамыз</t>
  </si>
  <si>
    <t>Әлем чемпионаты U20</t>
  </si>
  <si>
    <t>Тамыз</t>
  </si>
  <si>
    <t>Еркін күрес (юниорлар,жастар)</t>
  </si>
  <si>
    <t>АДД бойынша ОЖЖ</t>
  </si>
  <si>
    <t>наурыз/наурыз-сәуір/сәуір/мамыр</t>
  </si>
  <si>
    <t>Астана/Алматы/Шымкент/Ақмола обл/Алматы обл/Түркістан обл/Жамбыл  обл/Жетісу обл</t>
  </si>
  <si>
    <t>АДД бойынша ОЖЖ мен халықаралық жарысқа қатысу</t>
  </si>
  <si>
    <t>сәуір/сәуір-мамыр/мамыр</t>
  </si>
  <si>
    <t>Түркия/ Ресей/ Қырғызстан/Әзербайжан/Өзбекстан/Белоруссия/Болгария/Грузия/АҚШ/Румыния</t>
  </si>
  <si>
    <t>мамыр-маусым/маусым</t>
  </si>
  <si>
    <t>Азия чемпионаты алдындағы ОЖЖ 2 кезең</t>
  </si>
  <si>
    <t>Азия чемпионаты</t>
  </si>
  <si>
    <t>маусым-шілде/шілде/шілде-тамыз</t>
  </si>
  <si>
    <t>Йордания</t>
  </si>
  <si>
    <t>Әлем чемпионаты алдындағы ОЖЖ 1 кезең</t>
  </si>
  <si>
    <t>шілде/шілде-тамыз</t>
  </si>
  <si>
    <t>Әлем чемпионаты алдындағы ОЖЖ 2 кезең</t>
  </si>
  <si>
    <t>шілде-тамыз/тамыз/тамыз-қыркүйек</t>
  </si>
  <si>
    <t>ЖДД оқу жаттығу жиыны (ересектер құрама командасымен)</t>
  </si>
  <si>
    <t>қыркүйек</t>
  </si>
  <si>
    <t>қыркүйек-қазан/қазан</t>
  </si>
  <si>
    <t>Түркия/ Ресей/ Қырғызстан/Әзербайжан/Өзбекстан/Белоруссия/Болгария/Грузия</t>
  </si>
  <si>
    <t>Еркін күрес (кадеттер, жасөспірімдер)</t>
  </si>
  <si>
    <t>қаңтар/ақпан/наурыз</t>
  </si>
  <si>
    <t>ХЖ дайындық бойынша ОЖЖ</t>
  </si>
  <si>
    <t>Түркия/ Ресей/Румыния/ Қырғызстан/Әзірбайжан/Венгрия</t>
  </si>
  <si>
    <t>Азия чемпионаты алдындағы оқу жаттығу жиыны 1 кезең</t>
  </si>
  <si>
    <t xml:space="preserve">мамыр </t>
  </si>
  <si>
    <t>Азия чемпионаты алдындағы оқу жаттығу жиыны 2 кезең</t>
  </si>
  <si>
    <t>мамыр-маусым/маусым/маусым-шілде</t>
  </si>
  <si>
    <t>Әлем чемпионаты алдындағы оқу жаттығу жиыны 1 кезең</t>
  </si>
  <si>
    <t xml:space="preserve">маусым-шілде/шілде </t>
  </si>
  <si>
    <t>Әлем чемпионаты алдындағы оқу жаттығу жиыны 2 кезең</t>
  </si>
  <si>
    <t>Азия чемпионаты алдындағы оқу жаттығу жиыны 1 кезең U15</t>
  </si>
  <si>
    <t xml:space="preserve">мамыр-маусым </t>
  </si>
  <si>
    <t>Азия чемпионаты алдындағы оқу жаттығу жиыны 2 кезең U15</t>
  </si>
  <si>
    <t>маусым/маусым-шілде/шілде</t>
  </si>
  <si>
    <t>Тайланд/Йордания</t>
  </si>
  <si>
    <t>Барлығы ОДО Күрес түрлері бойынша</t>
  </si>
  <si>
    <t xml:space="preserve">Спортивный костюм парадный </t>
  </si>
  <si>
    <t xml:space="preserve">Тренировочный костюм </t>
  </si>
  <si>
    <t>Шорты</t>
  </si>
  <si>
    <t>Кепка</t>
  </si>
  <si>
    <t>Жилет утепленный</t>
  </si>
  <si>
    <t>Футболка поло с коротким рукавом</t>
  </si>
  <si>
    <t>ЖДД бойынша ОЖЖ 1 кезен</t>
  </si>
  <si>
    <t>ЖДД бойынша ОЖЖ 2 кезен</t>
  </si>
  <si>
    <t>Расчет на 2025 год</t>
  </si>
  <si>
    <t>Расчет на 2026 год</t>
  </si>
  <si>
    <t>Местоположение земельного участка: г. Астана, район "Есиль"</t>
  </si>
  <si>
    <t xml:space="preserve">Объект: Дворец единоборств имени Жаксылыка Ушкемпирова </t>
  </si>
  <si>
    <t>Чехия</t>
  </si>
  <si>
    <t>Грузия</t>
  </si>
  <si>
    <t>ОАЭ</t>
  </si>
  <si>
    <t>Тайланд</t>
  </si>
  <si>
    <t xml:space="preserve">ГСМ ( дизтопливо и бензин) х 12 мес = </t>
  </si>
  <si>
    <t>ВСЕГО:</t>
  </si>
  <si>
    <t>Вода и канализация</t>
  </si>
  <si>
    <t>Түркістан обл.</t>
  </si>
  <si>
    <t>Ақмола обл.</t>
  </si>
  <si>
    <t>Алматы обл.</t>
  </si>
  <si>
    <t xml:space="preserve">Астана </t>
  </si>
  <si>
    <t>Шымкент</t>
  </si>
  <si>
    <t>Жамбыл обл.</t>
  </si>
  <si>
    <t>Жетісу обл</t>
  </si>
  <si>
    <t>Қарағанды обл</t>
  </si>
  <si>
    <t xml:space="preserve">Түркістан обл. </t>
  </si>
  <si>
    <t>Шымкент қ.</t>
  </si>
  <si>
    <t>Астана</t>
  </si>
  <si>
    <t xml:space="preserve"> Алматы облысы</t>
  </si>
  <si>
    <t>Жамбыл обл</t>
  </si>
  <si>
    <t>Жамбыл  обл</t>
  </si>
  <si>
    <t>Түркістан обл</t>
  </si>
  <si>
    <t>Ақмола обл</t>
  </si>
  <si>
    <t>Қаржылық күнтізбелік жоспар 2024 жыл</t>
  </si>
  <si>
    <t xml:space="preserve">Участие в МТ </t>
  </si>
  <si>
    <t>Чемпионат Азии U15</t>
  </si>
  <si>
    <t>УТС перед ЧА 1этап</t>
  </si>
  <si>
    <t>УТС перед ЧА 2этап</t>
  </si>
  <si>
    <t>УТС перед  ЧМ</t>
  </si>
  <si>
    <t xml:space="preserve">УТС перед ЧА </t>
  </si>
  <si>
    <t>УТС по ОФП и СФП по подготовке к ЧА</t>
  </si>
  <si>
    <t>УТС восстановительный</t>
  </si>
  <si>
    <t>УТС по ОФП и СФП по подготовке к МТ</t>
  </si>
  <si>
    <t>УТС по ОФП и СФП по подготовке к ЧМ</t>
  </si>
  <si>
    <t>УТС по СФП по подготовке к МТ</t>
  </si>
  <si>
    <t xml:space="preserve"> МТ President Cup G-2</t>
  </si>
  <si>
    <t xml:space="preserve"> МТ Turkish open G-2</t>
  </si>
  <si>
    <t>МТ Austria open G-2</t>
  </si>
  <si>
    <t>УТС по ОФП и СФП перед ЧА 1 этап</t>
  </si>
  <si>
    <t>УТС по ОФП и СФП перед ЧА 2 этап</t>
  </si>
  <si>
    <t>МТ Фуджейра опен  G-2</t>
  </si>
  <si>
    <t>УТС по СФП перед МТ</t>
  </si>
  <si>
    <t xml:space="preserve">Чемпионат Азии U17 </t>
  </si>
  <si>
    <t xml:space="preserve">УТС по ОФП </t>
  </si>
  <si>
    <t>УТС перед ЧА 1 этап</t>
  </si>
  <si>
    <t>УТС перед ЧА 2 этап</t>
  </si>
  <si>
    <t>Чемпионат Азии U20</t>
  </si>
  <si>
    <t xml:space="preserve">УТС перед ЧМ </t>
  </si>
  <si>
    <t>Чемпионат Мира U20</t>
  </si>
  <si>
    <t>УТС по ОФП 2 этап</t>
  </si>
  <si>
    <t>УТС по СФП и участие в МТ</t>
  </si>
  <si>
    <t xml:space="preserve">Чемпионат Азии </t>
  </si>
  <si>
    <t>УТС по ОФП 1 этап</t>
  </si>
  <si>
    <t>УТС перед ЧА 1 этап U15</t>
  </si>
  <si>
    <t>УТС перед ЧА 2 этап U15</t>
  </si>
  <si>
    <t>июнь-июль/июлье</t>
  </si>
  <si>
    <t>июль-август/август</t>
  </si>
  <si>
    <t>февраль-март</t>
  </si>
  <si>
    <t>март/март-апрель/апрель</t>
  </si>
  <si>
    <t>июнь-июль/июнь/июль</t>
  </si>
  <si>
    <t>январь / февраль</t>
  </si>
  <si>
    <t>март/март-апрель</t>
  </si>
  <si>
    <t xml:space="preserve">март
</t>
  </si>
  <si>
    <t xml:space="preserve">апрель
</t>
  </si>
  <si>
    <t xml:space="preserve">апрель/апрел-май
</t>
  </si>
  <si>
    <t xml:space="preserve">июнь
</t>
  </si>
  <si>
    <t xml:space="preserve">июнь-июль                                                   </t>
  </si>
  <si>
    <t>июнь-июль/июль-август</t>
  </si>
  <si>
    <t>октябрь/октяб-нояб/нояб-дек/дек</t>
  </si>
  <si>
    <t>март/мар-апрель</t>
  </si>
  <si>
    <t>июль/июль-август/август</t>
  </si>
  <si>
    <t>март/март-апренль/апрель/май</t>
  </si>
  <si>
    <t>апрель/апрель-май/май</t>
  </si>
  <si>
    <t>июнь-июль/июль/июль-август</t>
  </si>
  <si>
    <t>июль/июль -август</t>
  </si>
  <si>
    <t>июль-август/август/август-сентябюрь</t>
  </si>
  <si>
    <t>сентябрь-октябрь/октябрь</t>
  </si>
  <si>
    <t>январь/февраль/март</t>
  </si>
  <si>
    <t xml:space="preserve"> ИТОГО "ЦОП по видам борьбы"</t>
  </si>
  <si>
    <t>Женская борьба (кадетки,юноши)</t>
  </si>
  <si>
    <t>Женская борьба (юниорки,молодежь)</t>
  </si>
  <si>
    <t>Дзюдо кадеты (юноши)</t>
  </si>
  <si>
    <t>Дзюдо юниоры (молодежь)</t>
  </si>
  <si>
    <t>Каратэ (кадеты, юноши)</t>
  </si>
  <si>
    <t>Греко-римская борьба (кадеты,юноши)</t>
  </si>
  <si>
    <t>Вольная борьба(кадеты, юноши)</t>
  </si>
  <si>
    <t>Сумма расходов графа4 х графа5/1000 тыс. тенге</t>
  </si>
  <si>
    <t>Сумма расходов (графа3 х графа4)/1000  тыс. тенге</t>
  </si>
  <si>
    <t>Итого тыс. тенге:</t>
  </si>
  <si>
    <t>Всего расходов (графа9+графа10) тыс. тенге</t>
  </si>
  <si>
    <t>Обязательные пенсионные  взносы работодателя</t>
  </si>
  <si>
    <t>Об обязательном страховании работника от несчастных случаев при исполнении им трудовых (служебных) обязанностей п. 2-1 статья 17.                                                                   Об утверждении Правил отнесения видов экономической деятельности к классам профессионального риска ( 2 класс профессионального риска)
Приказ Министра труда и социальной защиты населения Республики Казахстан от 5 марта 2022 года № 86. Зарегистрирован в Министерстве юстиции Республики Казахстан 11 марта 2022 года № 27085.
Закон Республики Казахстан от 7 февраля 2005 года № 30</t>
  </si>
  <si>
    <t>Руководитель ПЭО</t>
  </si>
  <si>
    <t>Ушкемпиров Ж. Ж.</t>
  </si>
  <si>
    <t>Жокебаева М. А.</t>
  </si>
  <si>
    <t>Заместитель директора по спортивной работе</t>
  </si>
  <si>
    <t>Заместитель директора по финансовой и организационной деятельности</t>
  </si>
  <si>
    <t>Бухгалтер по взаиморасчету</t>
  </si>
  <si>
    <t>0-1</t>
  </si>
  <si>
    <t xml:space="preserve">4.Отдел государственных закупок </t>
  </si>
  <si>
    <t xml:space="preserve">Руководитель  отдела государственных закупок </t>
  </si>
  <si>
    <t>5. Отдел материально-технического обеспечения</t>
  </si>
  <si>
    <t>Руководитель МТО</t>
  </si>
  <si>
    <t>Инспектор МТО по спортивной части</t>
  </si>
  <si>
    <t>Инспектор МТО по технической части</t>
  </si>
  <si>
    <t>6. Юридический отдел</t>
  </si>
  <si>
    <t xml:space="preserve">7.Отдел кадровой работы </t>
  </si>
  <si>
    <t>с 12 до 16</t>
  </si>
  <si>
    <t>8.Учебно-методический отдел</t>
  </si>
  <si>
    <t>Старший тренер по греко-римской борьбе (юниоры, юноши)</t>
  </si>
  <si>
    <t>Тренер по греко-римской борьбе (молодежь)</t>
  </si>
  <si>
    <t>Тренер по греко-римской борьбе (юниоры, юноши)</t>
  </si>
  <si>
    <t>Старший тренер по вольной борьбе (молодежь)</t>
  </si>
  <si>
    <t>Старший тренер по вольной борьбе  (юниоры, юноши)</t>
  </si>
  <si>
    <t>Тренер по вольной борьбе (молодежь)</t>
  </si>
  <si>
    <t>Тренер по вольной борьбе (юниоры, юноши)</t>
  </si>
  <si>
    <t>Старший тренер по женской борьбе (молодежь)</t>
  </si>
  <si>
    <t xml:space="preserve">Старший тренер по женской борьбе (юниорки, юноши) </t>
  </si>
  <si>
    <t>Тренер по женской борьбе (молодежь)</t>
  </si>
  <si>
    <t>Тренер по женской борьбе (юниоры, юноши)</t>
  </si>
  <si>
    <t>Старший тренер по дзюдо кадеты (юноши, девочки)</t>
  </si>
  <si>
    <t>Тренер по дзюдо (молодежь)</t>
  </si>
  <si>
    <t>Старший тренер по таэквондо (юниоры, мальчики)</t>
  </si>
  <si>
    <t>Старший тренер по таэквондо (юниоры, девушки)</t>
  </si>
  <si>
    <t>Старший тренер по таэквондо (юноши, мальчики)</t>
  </si>
  <si>
    <t>Старший тренер по таеквондо (юноши, девочки)</t>
  </si>
  <si>
    <t>Старший тренер по каратэ WKF  (юниоры мальчики )</t>
  </si>
  <si>
    <t>Старший тренер по каратэ WKF  (юниоры девушки)</t>
  </si>
  <si>
    <t>Тренер по каратэ WKF  (юниоры мальчики )</t>
  </si>
  <si>
    <t>Тренер по каратэ WKF  (юниоры девушки)</t>
  </si>
  <si>
    <t>9.Здравоохранение</t>
  </si>
  <si>
    <t>10.Административно-хозяйственный отдел</t>
  </si>
  <si>
    <t>с 0 до 3</t>
  </si>
  <si>
    <t>11.Служба слабых токов и информационных технологий</t>
  </si>
  <si>
    <t xml:space="preserve">с 0 до 3 </t>
  </si>
  <si>
    <t xml:space="preserve">Главный инженер слаботочных систем </t>
  </si>
  <si>
    <t>с 6 до 9</t>
  </si>
  <si>
    <t>12.Служба по обслуживанию и эксплуатации объекта Дворца единоборств</t>
  </si>
  <si>
    <t>Старший инженер по контрольно-измерительным приборам и автоматике</t>
  </si>
  <si>
    <t>Слесарь по вентиляции</t>
  </si>
  <si>
    <t>Газоэлектросварщик</t>
  </si>
  <si>
    <t>13.Служба операционного контроля</t>
  </si>
  <si>
    <t>13.1.Отдел операционного контроля и спортивно-массовой работы (ДЕ)</t>
  </si>
  <si>
    <t>с 3 до 6</t>
  </si>
  <si>
    <t xml:space="preserve">Инспектор </t>
  </si>
  <si>
    <t>13.2..Отдел маркетинга и рекламы</t>
  </si>
  <si>
    <t>13.3..Гостиница Дворца единоборств</t>
  </si>
  <si>
    <t>13.4.Фитнес центр Дворца единоборств</t>
  </si>
  <si>
    <t>13.5.Столовая Дворца единоборств</t>
  </si>
  <si>
    <t>Старший менеджер</t>
  </si>
  <si>
    <t>14.Отдел безопасности и охраны труда</t>
  </si>
  <si>
    <t xml:space="preserve">Инженер по ПБ </t>
  </si>
  <si>
    <t>15.Служба безопасности</t>
  </si>
  <si>
    <t xml:space="preserve">Руководитель ПЭО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</si>
  <si>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Старший тренер по дзюдо (молодеж, девушки) </t>
  </si>
  <si>
    <t>Расчет расходов  на горюче-смазочные материалы на 2025-2027 годы</t>
  </si>
  <si>
    <t>Расчет расходов коммунальных услуг на 2025-2027 годы</t>
  </si>
  <si>
    <t>Расчет расходов на медикаменты и прочие средства медицинского назначения на 2025-2027 годы</t>
  </si>
  <si>
    <t>Набор отверток</t>
  </si>
  <si>
    <t>Рюкзак</t>
  </si>
  <si>
    <t>Цена за еденицу в тенге, (сумма без НДС)</t>
  </si>
  <si>
    <t>5.2</t>
  </si>
  <si>
    <t>пак</t>
  </si>
  <si>
    <t>3.3</t>
  </si>
  <si>
    <t>1.11</t>
  </si>
  <si>
    <t>3.4</t>
  </si>
  <si>
    <t xml:space="preserve"> FDP фруктоза 1,6 дифосфат </t>
  </si>
  <si>
    <t>Нитроглицерин таб</t>
  </si>
  <si>
    <t xml:space="preserve">Сальбутамол спрей </t>
  </si>
  <si>
    <t>бл</t>
  </si>
  <si>
    <t>4.3</t>
  </si>
  <si>
    <t>Каптоприл таб</t>
  </si>
  <si>
    <t>Аскорбинова кислота таб №10</t>
  </si>
  <si>
    <t>9</t>
  </si>
  <si>
    <t>12</t>
  </si>
  <si>
    <t>Ибупрофен таб</t>
  </si>
  <si>
    <t>таб</t>
  </si>
  <si>
    <t>123</t>
  </si>
  <si>
    <t>11</t>
  </si>
  <si>
    <t>424</t>
  </si>
  <si>
    <t>Ацетилсалициловая кислота</t>
  </si>
  <si>
    <t xml:space="preserve">Глюкоза 200,0 </t>
  </si>
  <si>
    <t>13</t>
  </si>
  <si>
    <t>Парацетамол таб  0,5 г №10</t>
  </si>
  <si>
    <t>407</t>
  </si>
  <si>
    <t>Бинты нестерильные 7*14</t>
  </si>
  <si>
    <t>Бинты стерильные 7*14</t>
  </si>
  <si>
    <t>Ватные диски№100</t>
  </si>
  <si>
    <t>Лейкопластырь гипоаллергенный 5 см *500 см тканевой</t>
  </si>
  <si>
    <t>Вата нестерильная 100г</t>
  </si>
  <si>
    <t>Перчатки стерильные</t>
  </si>
  <si>
    <t>шприц 5 мл</t>
  </si>
  <si>
    <t>шприц 2 мл</t>
  </si>
  <si>
    <t>шприц 10 мл</t>
  </si>
  <si>
    <t>7.12</t>
  </si>
  <si>
    <t>195</t>
  </si>
  <si>
    <t>Спирт этиловый 70% 50 мл</t>
  </si>
  <si>
    <t>194</t>
  </si>
  <si>
    <t>Хлоргексидин  100 мл</t>
  </si>
  <si>
    <t>191</t>
  </si>
  <si>
    <t>Йод 10 мл</t>
  </si>
  <si>
    <t>192</t>
  </si>
  <si>
    <t xml:space="preserve">Перекись водорода спрей </t>
  </si>
  <si>
    <t>Дексаметазон 4 мг №25 раствор</t>
  </si>
  <si>
    <t>Амброксол №20 в таб 30 мг</t>
  </si>
  <si>
    <t>Ксилометазолин спрей 0,1% 15 мл</t>
  </si>
  <si>
    <t>Общая сумма, тыс.тг</t>
  </si>
  <si>
    <t>Расчет по страхованию  жизни работников 2025-2027гг</t>
  </si>
  <si>
    <t>Расчет налога на транспорт на 2025-2027 годы</t>
  </si>
  <si>
    <t>Сумма взноса на 2025 год (МРП 3932 тг) тыс. тенге</t>
  </si>
  <si>
    <t>Расчет расходов по оплате работ и услуг на 2025-2027 годы</t>
  </si>
  <si>
    <t>Расчет на 2027 год</t>
  </si>
  <si>
    <t>Сумма налога,
на 2025 год тыс. тенге (6*7+11)/1000</t>
  </si>
  <si>
    <t>МРП на 2026 г</t>
  </si>
  <si>
    <t>МРП на 2027 г</t>
  </si>
  <si>
    <t>Сумма налога,
на 2026 год тыс. тенге (6*8+11)/1000</t>
  </si>
  <si>
    <t>Сумма налога,
на 2027 год тыс. тенге (6*9+11)/1000</t>
  </si>
  <si>
    <t>2026 г.</t>
  </si>
  <si>
    <t>Финансовый календарь на 2025 год</t>
  </si>
  <si>
    <t>курс доллара:</t>
  </si>
  <si>
    <t>курс евро:</t>
  </si>
  <si>
    <t>курс швейц франка</t>
  </si>
  <si>
    <t>Вольная борьба (молодежь)</t>
  </si>
  <si>
    <t>УТС по подготовке к МТ</t>
  </si>
  <si>
    <t>март/март-апрель/апрель/апрель-май/май</t>
  </si>
  <si>
    <t>Азербайджан/Турция/
США/Грузия/Иран/
Россия/Болгария</t>
  </si>
  <si>
    <t>Международный турнир</t>
  </si>
  <si>
    <t xml:space="preserve">Азербайджан/Турция/
США/Грузия/Иран/
Россия/Болгария/Испания </t>
  </si>
  <si>
    <t>апрель/апрель-май/май/май-июнь/июнь</t>
  </si>
  <si>
    <t>апрель/май/май-июнь/июнь</t>
  </si>
  <si>
    <t>Вольная борьба(юниоры, юноши)</t>
  </si>
  <si>
    <t>май-июнь/июнь/июнь-июль</t>
  </si>
  <si>
    <t>Чемпионат Азии  U17</t>
  </si>
  <si>
    <t>Иордания/Тайланд</t>
  </si>
  <si>
    <t>Каратэ WKF (юниоры, мальчики)</t>
  </si>
  <si>
    <t xml:space="preserve">Международный турнир </t>
  </si>
  <si>
    <t>февраль-март / март</t>
  </si>
  <si>
    <t>Международный турнир 44th Grand Prix Slovakia</t>
  </si>
  <si>
    <t xml:space="preserve">март </t>
  </si>
  <si>
    <t>г. Братислава (Словакия)</t>
  </si>
  <si>
    <t>УТС по ОФП и СФП</t>
  </si>
  <si>
    <t>Туркестанская обл., Алматинская обл., г.Алматы, г.Астана</t>
  </si>
  <si>
    <t>апрель-май / май</t>
  </si>
  <si>
    <t>Международный турнир Karate1 Youth League</t>
  </si>
  <si>
    <t xml:space="preserve">май </t>
  </si>
  <si>
    <t>г.Ла-Корунья  (Испания)</t>
  </si>
  <si>
    <t>Каратэ WKF (юниоры, девочки)</t>
  </si>
  <si>
    <t xml:space="preserve">апрель </t>
  </si>
  <si>
    <t xml:space="preserve">апрель-май / май    </t>
  </si>
  <si>
    <t xml:space="preserve">май   </t>
  </si>
  <si>
    <t xml:space="preserve"> г.Ла-Корунья  (Испания)</t>
  </si>
  <si>
    <t>Женская борьба (молодежь)</t>
  </si>
  <si>
    <t xml:space="preserve">Румыния </t>
  </si>
  <si>
    <t>УТС перед ЧА (1-этап)</t>
  </si>
  <si>
    <t>июнь/июнь-июль/июль</t>
  </si>
  <si>
    <t>г.Алматы, г.Астана, Алматинская обл., Туркистанская обл.</t>
  </si>
  <si>
    <t>Женская борьба (юниорки, девушки)</t>
  </si>
  <si>
    <t>Международный турнир U17</t>
  </si>
  <si>
    <t>УТС перед ЧА (1 этап) U17/U15</t>
  </si>
  <si>
    <t xml:space="preserve"> г.Алматы, г.Астана, Алматинская обл., Туркистанская обл.</t>
  </si>
  <si>
    <t>УТС перед ЧА (2 этап)</t>
  </si>
  <si>
    <t>г.Алматы, г.Астана, Алматинская область, Туркистанская область</t>
  </si>
  <si>
    <t>Словакия/Турция/Хорватия</t>
  </si>
  <si>
    <t xml:space="preserve">Апрель </t>
  </si>
  <si>
    <t>УТС по ОФП и СФП по подготовке к МТ (совместно со взрослой сборной РК)</t>
  </si>
  <si>
    <t>январь/февраль</t>
  </si>
  <si>
    <t xml:space="preserve">март/март-апрель </t>
  </si>
  <si>
    <t xml:space="preserve">апрель/апрель-май/май </t>
  </si>
  <si>
    <t>Греко-римская борьба (юниоры, юноши)</t>
  </si>
  <si>
    <t>"Victory Cup" международный турнир</t>
  </si>
  <si>
    <t xml:space="preserve">март    </t>
  </si>
  <si>
    <t xml:space="preserve">г.Анталья (Туркия)  </t>
  </si>
  <si>
    <t xml:space="preserve">  УТС перед МТ</t>
  </si>
  <si>
    <t xml:space="preserve">Иран </t>
  </si>
  <si>
    <t>Греко-римская борьба (молодежь)</t>
  </si>
  <si>
    <t xml:space="preserve">февраль/февраль-март/март </t>
  </si>
  <si>
    <t>"Adriatic Troрhy" международный турнир</t>
  </si>
  <si>
    <t xml:space="preserve">г.Пореч (Хорватия)  </t>
  </si>
  <si>
    <t>Таеквондо (юниоры,  молодежь, девочки, мальчики)</t>
  </si>
  <si>
    <t>"Buglaria Open "   международный турнир</t>
  </si>
  <si>
    <t xml:space="preserve"> февраль-март/март</t>
  </si>
  <si>
    <t>София (Болгария)</t>
  </si>
  <si>
    <t>"Egypt Open " международный турнир</t>
  </si>
  <si>
    <t xml:space="preserve"> апрель/апрель-май/май</t>
  </si>
  <si>
    <t xml:space="preserve">Каир (Египет)  </t>
  </si>
  <si>
    <t xml:space="preserve">УТС  по СФП и ОФП      перед МТ </t>
  </si>
  <si>
    <t xml:space="preserve"> июль/июль-август/август</t>
  </si>
  <si>
    <t>Южная Корея</t>
  </si>
  <si>
    <t>Таеквондо (кадеты, юноши, мальчики, девочки)</t>
  </si>
  <si>
    <t xml:space="preserve"> Учебно-тренировочные сборы по подготовке спортсменов к международным турнирам</t>
  </si>
  <si>
    <t xml:space="preserve"> Март/март-апрель/апрель/апрель-май/май   </t>
  </si>
  <si>
    <t xml:space="preserve"> г. Алматы</t>
  </si>
  <si>
    <t xml:space="preserve"> "Spanish Open" международный турнир</t>
  </si>
  <si>
    <t xml:space="preserve"> Март/март-апрель/апрель </t>
  </si>
  <si>
    <t xml:space="preserve"> Учебно-тренировочные сборы по специальной физической подготовке в к международным турнирам</t>
  </si>
  <si>
    <t xml:space="preserve"> Июнь/июнь-июль/июль/июль-август  </t>
  </si>
  <si>
    <t>Республика Корея</t>
  </si>
  <si>
    <t>Финансовый календарь на 2026 год</t>
  </si>
  <si>
    <t xml:space="preserve">Май </t>
  </si>
  <si>
    <t>Азербайджан</t>
  </si>
  <si>
    <t>Финансовый календарь на 2027 год</t>
  </si>
  <si>
    <t>лимит, норма, техпаспорт, стоимость прайс либо поставить цену  ППРК 263 тенге Аи-92</t>
  </si>
  <si>
    <t xml:space="preserve">2) Договора с техспецификацией </t>
  </si>
  <si>
    <t>3) количество и объем надо подтвердить</t>
  </si>
  <si>
    <t>НПА положить в папку</t>
  </si>
  <si>
    <t>1) скрин из Налогового кодекса (ставка)</t>
  </si>
  <si>
    <t>2) техпаспорт</t>
  </si>
  <si>
    <t>3) на 7 тенге ?</t>
  </si>
  <si>
    <t xml:space="preserve">1) Подтвердить балансовую стоимость  имущест и земли </t>
  </si>
  <si>
    <t>2) Скрин из НК ст.505, 510, 521</t>
  </si>
  <si>
    <t>Расшифровка налога на имущество и земельного налога на 2025-2027 годы</t>
  </si>
  <si>
    <t xml:space="preserve">баласн стоимость/13 среднегодовая баланс. стоимость </t>
  </si>
  <si>
    <t>9567916,37803 /13*12*0,1%=8 832 тыс. тенге</t>
  </si>
  <si>
    <t>5,1724*19,3*1,85*10 000*0,1=</t>
  </si>
  <si>
    <t>ПЕРЕЧЕНЬ
фармакологических средств по оказанию скорой неотложной помощи спортсменам, участвующим на учебно-тренировочных процессах и спортивных мероприятиях (лекарственный формуляр)</t>
  </si>
  <si>
    <t>Раздел 2. Анальгетики, антипиретики и нестероидные противовоспалительные лекарственные средства (НПВС)</t>
  </si>
  <si>
    <t xml:space="preserve">Подраздел 1. Неопиоидные анальгетики и нестероидные противовоспалительные лекарственные средства (НПВС)
</t>
  </si>
  <si>
    <t>Раздел 4. Антидоты и другие субстанции, употребляемые при отравлениях</t>
  </si>
  <si>
    <t>Подраздел 1. Неспецифические</t>
  </si>
  <si>
    <t>Раздел 5. Противоаллергические лекарственные средства и лекарственные средства, употребляемые при анафилаксии</t>
  </si>
  <si>
    <t>Раздел 8. Противомикробные и противопаразитарные лекарственные средства</t>
  </si>
  <si>
    <t>Подраздел 2. Антибактериальные средства</t>
  </si>
  <si>
    <t>2.1. В-лактамные лекарственные средства</t>
  </si>
  <si>
    <t>2.7. Амфениколы</t>
  </si>
  <si>
    <t>Подраздел 7. Антисептики</t>
  </si>
  <si>
    <t>Раздел 13. Сердечнососудистые лекарственные средства</t>
  </si>
  <si>
    <t>Подраздел 1. Антиангинальные лекарственные средства</t>
  </si>
  <si>
    <t>1.1. Нитраты</t>
  </si>
  <si>
    <t>3.4. Ингибиторы АПФ</t>
  </si>
  <si>
    <t>Раздел 15. Лекарственные средства, применяемые при заболеваниях органов пищеварения</t>
  </si>
  <si>
    <t>Подраздел 1. Антацидные и другие противоязвенные лекарственные средства</t>
  </si>
  <si>
    <t>Подраздел 5. Спазмолитические лекарственные средства</t>
  </si>
  <si>
    <t>Подраздел 7. Лекарственные средства, применяемые при диарее</t>
  </si>
  <si>
    <t>7.1. Средства для пероральной регидратации</t>
  </si>
  <si>
    <t>7.3. Средства, применяемые при антибиотикоассоциированной диарее</t>
  </si>
  <si>
    <t>7.3.1. Антибактериальные препараты</t>
  </si>
  <si>
    <t>7.3.1.1. Адсорбирующие лекарственные средства</t>
  </si>
  <si>
    <t>Подраздел 8. Препараты пищеварительных ферментов</t>
  </si>
  <si>
    <t>Раздел 16. Лекарственные средства, применяемые при заболеваниях органов дыхания</t>
  </si>
  <si>
    <t>Подраздел 1. Лекарственные средства, применяемые при бронхиальной астме и хронических обструктивных заболеваниях легких</t>
  </si>
  <si>
    <t>Подраздел 2. Муколитические лекарственные средства</t>
  </si>
  <si>
    <t>Подраздел 4. Назальные препараты</t>
  </si>
  <si>
    <t>Раздел 18. Дерматологические лекарственные средства (для местного применения)</t>
  </si>
  <si>
    <t>Подраздел 2. Антибактериальные лекарственные средства</t>
  </si>
  <si>
    <t>Подраздел 4. Лекарственные средства, влияющие на процессы дифференцировки и пролиферации клеток кожного покрова</t>
  </si>
  <si>
    <t>Раздел 19. Офтальмологические средства</t>
  </si>
  <si>
    <t>Подраздел 1. Антибактериальные средства</t>
  </si>
  <si>
    <t>Раздел 21. Витамины и минеральные вещества</t>
  </si>
  <si>
    <t>ПЕРЕЧЕНЬ
восстановительных средств, витаминных и белково-глюкозных
препаратов, биологически активных добавок спортивного
направления и химических реагентов
для спортсменов, участвующих на учебно-тренировочных процессах и спортивных мероприятиях</t>
  </si>
  <si>
    <t>1. Средства базового обеспечения</t>
  </si>
  <si>
    <t>3. Средства энергетической направленности</t>
  </si>
  <si>
    <t>4. Специализированные средства</t>
  </si>
  <si>
    <t>5. Биологически активные добавки (БАДы)</t>
  </si>
  <si>
    <t>6. Мази и масла</t>
  </si>
  <si>
    <t>7. Изделия медицинского назначения и химические реагенты</t>
  </si>
  <si>
    <t>Болгария/США/Турция/
Россия/Грузия/Иран/
Азербайджан</t>
  </si>
  <si>
    <t>Болгария/Азербайджан/Турция/
Румыния/Грузия/Иран/
Россия/Испания</t>
  </si>
  <si>
    <t>Германия/Чехия/Грузия/Франция</t>
  </si>
  <si>
    <t>Обязательные соц. отчисления *5%=</t>
  </si>
  <si>
    <t>Обязательные пенсионные взносы работодателя (ОПВР)  *2,5%=</t>
  </si>
  <si>
    <t>Обязательные пенсионные взносы работодателя (ОПВР)  *3,5%=</t>
  </si>
  <si>
    <t>Обязательные пенсионные взносы работодателя (ОПВР)  *4,5%=</t>
  </si>
  <si>
    <t xml:space="preserve"> г. Алматы/ г. Астана/ г. Шымкент/ Акмолинская обл./ Алматинская обл./ Жетысуская обл./ Жамбылская обл./ Туркестанская обл.</t>
  </si>
  <si>
    <t xml:space="preserve"> г. Алматы,г. Астана, Алматинская обл., Туркестанская обл.</t>
  </si>
  <si>
    <t xml:space="preserve"> Жетисуская обл./Акмолинская обл. /АО / Туркестанская обл. / Карагандинская обл. / г.Астана,/ г.Алматы,/ г.Шымкент,/ Жамбылская обл.</t>
  </si>
  <si>
    <t xml:space="preserve"> г. Алматы / г.Астана/ г.Шымкент / Акмолинская обл./ Алматинская обл./ Жетысуская обл./ Жамбылская обл./ Туркестанская обл.</t>
  </si>
  <si>
    <t xml:space="preserve"> г. Алматы /  г.Астана/г.Шымкент / Акмолинская обл./ Алматинская обл./ Жетысуская обл./ Жамбылская обл./ Туркестанская обл. </t>
  </si>
  <si>
    <t xml:space="preserve">Жетисуская обл./Акмолинская обл. / АО / Туркестанская обл. / Карагандинская обл. / г.Астана,/ г.Алматы,/ г.Шымкент,/ Жамбылская обл. </t>
  </si>
  <si>
    <t xml:space="preserve"> г.Алматы,г.Астана, г.Шымкент, Алматинская обл., Туркестанская обл.</t>
  </si>
  <si>
    <t>г. Алматы/г. Астана/  г. Шымкент/ Акмолинская обл./ Алматинская обл./ Жетысуская обл./ Жамбылская обл./ Туркестанская обл.</t>
  </si>
  <si>
    <t>Тренировочный спортивный костюм</t>
  </si>
  <si>
    <t>Шорты спортивные</t>
  </si>
  <si>
    <t>Футболка с коротким рукавом</t>
  </si>
  <si>
    <r>
      <rPr>
        <i/>
        <sz val="12"/>
        <color theme="1"/>
        <rFont val="Times New Roman"/>
        <family val="1"/>
        <charset val="204"/>
      </rPr>
      <t xml:space="preserve">"Об утверждении натуральных норм обеспечения спортсменов, тренеров и специалистов в области физической культуры и спорта, военнослужащих и сотрудников правоохранительных органов в период подготовки и участия в спортивных мероприятиях, проводимых на территории Республики Казахстан и за ее пределами".                                                Приказ и.о. Министра культуры и спорта Республики Казахстан от 21 сентября 2022 года № 273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</t>
    </r>
  </si>
  <si>
    <t>Расходы расчетов по приобретению прочих запасов на 2025-2027 годы</t>
  </si>
  <si>
    <t>Расходы расчетов по приобретению спортивной экипировки и инвентаря на 2025-2027 гг.</t>
  </si>
  <si>
    <t>Городские телефонные номера 51 тел*1926*12мес</t>
  </si>
  <si>
    <t>Услуги доступа к сети интернет с подключением к Единому Шлюзу Доступа 700000 тг * 12 мес</t>
  </si>
  <si>
    <t>Цитрамон таб (ацетилсалициловая кислота)</t>
  </si>
  <si>
    <t>Кетонал 2мл №10 амп раствор (кетопрофен)</t>
  </si>
  <si>
    <t>Кетонал 100 мг таб (кетопрофен)</t>
  </si>
  <si>
    <t>Фастум гель 50 г (кетопрофен)</t>
  </si>
  <si>
    <t>Долгит крем 50 гр (ибупрофен)</t>
  </si>
  <si>
    <t>АДРЕНАЛИНА ГИДРОТАРТРАТ 0,18%/1 МЛ №10 РАСТВОР ДЛЯ ИНЪЕКЦИЙ В АМПУЛАХ (эпинефрин)</t>
  </si>
  <si>
    <t>Хиконцил 500мг №16 (амоксициллин)</t>
  </si>
  <si>
    <t>Левомицитин таб (хлорамфеникол)</t>
  </si>
  <si>
    <t>Кофодрил Мята №24 (хлоргексидин раствор для наружного применения 0,05 %)</t>
  </si>
  <si>
    <t>Нитроминт 0,4 (нитроглицерин)</t>
  </si>
  <si>
    <t xml:space="preserve"> Но-шпа 40 мг №24 таб (дротаверин)</t>
  </si>
  <si>
    <t xml:space="preserve">     Но-шпа 40 мг/ 2 мл №5 ампула (дротаверин)      </t>
  </si>
  <si>
    <t>Раствор солевой Регидрон  №20 (Натрия хлорид, калия хлорид, натрия цитрат, глюкоза)</t>
  </si>
  <si>
    <t>Диосмектит3 Г №10 ПОР.Д/СУСП. ДЛЯ ПРИЕМА ВНУТРЬ (смектитдиоктаэдрический)</t>
  </si>
  <si>
    <t>Мезим форте №20 (панкреатин)</t>
  </si>
  <si>
    <t>Левомеколь мазь (Хлорамфеникол + Метилурацил)</t>
  </si>
  <si>
    <t>Пантенол аэрозоль (декспантенол)</t>
  </si>
  <si>
    <t>35</t>
  </si>
  <si>
    <t>Левомицитин гл капли 0, 25% (хлорамфеникол)</t>
  </si>
  <si>
    <t>MAGNE-100 SPORT  60 cap (витаминно-минеральный комплекс)</t>
  </si>
  <si>
    <t>Актовегин 200 мг 5 мл №5 в ампулах уп (антигипоксант)</t>
  </si>
  <si>
    <t>Super Omega-3 120 cap (Омега-3)</t>
  </si>
  <si>
    <t>CREATINE 100% 300g powder (креатинсодержащие средства)</t>
  </si>
  <si>
    <t>L-CARNITINE COMPLEX 90cap (Л-карнитин)</t>
  </si>
  <si>
    <t>ISOTONIC SPORT 1000g Orange (изотоник)</t>
  </si>
  <si>
    <t>3.6</t>
  </si>
  <si>
    <t>ENERGY GEL 40 g Forest Fruit (стимуляторы психофизиологических реакций и энергетики)</t>
  </si>
  <si>
    <t>Немисил№30 (нимесулид, нестероидные противовоспалительные средства)</t>
  </si>
  <si>
    <t>Мелаксен 3 мг №24 (Мелатонин)</t>
  </si>
  <si>
    <t>WHEY 100 900g (белки)</t>
  </si>
  <si>
    <t>ВСАА HIGH SPEED 250g JAR CHERRY GRAPEFRUIT (аминокислоты)</t>
  </si>
  <si>
    <t>AMINO MAX 6800 160cap (аминокислоты)</t>
  </si>
  <si>
    <t>100% VITAMINS &amp; MINIRALS 60 cap (витаминно-минеральные комплексы)</t>
  </si>
  <si>
    <t>MULTIVITAMIN FOR WOMEN 90 cap (витаминно-минеральные комплексы)</t>
  </si>
  <si>
    <t>Масло массажное 1 л Mini teacher (средства для спортивного массажа)</t>
  </si>
  <si>
    <t>Дип хит 67 г (метилсалицилат)</t>
  </si>
  <si>
    <t>Фенистил гель 30г (диметиндена малеат)</t>
  </si>
  <si>
    <t>Охлаждающий спрей 400 мл (Средства, действующие в области чувствительных нервных окончаний)</t>
  </si>
  <si>
    <t>Троксивазин гель  40гр (троксерутин)</t>
  </si>
  <si>
    <t>Ушные палочки №100 (вата)</t>
  </si>
  <si>
    <t>130622 Tear-Light Tape, легко разрываемый (тейп)</t>
  </si>
  <si>
    <t>Подтейпник Mueller 130702 (фиксирующая повязка)</t>
  </si>
  <si>
    <t>ARES кинезио тейп 5 м (тейп)</t>
  </si>
  <si>
    <t xml:space="preserve"> Bbtape кинезио тейп 5 см х5  (тейп)</t>
  </si>
  <si>
    <t>Сумма взноса на 2026 год (МРП 4129 тг) тыс. тенге</t>
  </si>
  <si>
    <t>Сумма взноса на 2027 год (МРП 4335 тг) тыс. тенге</t>
  </si>
  <si>
    <t>гражданско-правовой ответственности владельцев автотранспортных средств на 2025-2027 годы</t>
  </si>
  <si>
    <t>Расчет размера страховой премии при обязательном страховании гражданско-правовой ответственности перевозчика перед пассажирами на 2025-2027 годы</t>
  </si>
  <si>
    <t xml:space="preserve">Гнусоистребительные работы (комары на открытой территории) </t>
  </si>
  <si>
    <t>Услуга по дезинфекционным работам (дератизация,дезинсекция )</t>
  </si>
  <si>
    <t>Услуга по обслуживанию пожарной сигнализации с организацией пожарного поста</t>
  </si>
  <si>
    <t>Услуга по озеленению</t>
  </si>
  <si>
    <t xml:space="preserve">Услуга охраны </t>
  </si>
  <si>
    <t xml:space="preserve">Услуга по ТБО </t>
  </si>
  <si>
    <t>Услуги по уборке внутренних помещений (с расходными)</t>
  </si>
  <si>
    <t xml:space="preserve">услуга </t>
  </si>
  <si>
    <t xml:space="preserve">Услуги по уборке территории (с расходными) </t>
  </si>
  <si>
    <t xml:space="preserve">Услуга по чистке кровли </t>
  </si>
  <si>
    <t>сумма договора</t>
  </si>
  <si>
    <t>*в связи с увеличением тарифа, лимит расчитан на 7 мес.</t>
  </si>
  <si>
    <t>*в связи с увеличением тарифа, лимит расчитан на 8,5 мес.</t>
  </si>
  <si>
    <t>*в связи с увеличением тарифа, лимит расчитан на 8,6 мес.</t>
  </si>
  <si>
    <t>Штатное расписания  РГКП "Центр олимпийской подготовки по видам борьбы на 2025-2027 год.</t>
  </si>
  <si>
    <t>наем жилья</t>
  </si>
  <si>
    <t>проезд</t>
  </si>
  <si>
    <t>суточные</t>
  </si>
  <si>
    <t>жилье</t>
  </si>
  <si>
    <t>работа</t>
  </si>
  <si>
    <t>И.о. директора</t>
  </si>
  <si>
    <t>Кусманов А.</t>
  </si>
  <si>
    <t>Демонтаж, монтаж мини футбольного поля</t>
  </si>
  <si>
    <t>Автоматический выключатель 16 А</t>
  </si>
  <si>
    <t>Автоматический выключатель 6 А</t>
  </si>
  <si>
    <t>Анкер винтовой для гипсокартона</t>
  </si>
  <si>
    <t>Анкер дюбель 10х100мм</t>
  </si>
  <si>
    <t>Анкер дюбель 6х40мм, грибок</t>
  </si>
  <si>
    <t>Анкер дюбель 6х40мм, потайной</t>
  </si>
  <si>
    <t>Батарея электрическая, элемент питания , 6LR61</t>
  </si>
  <si>
    <t>Батарея электрическая, элемент питания . LR03 ААА</t>
  </si>
  <si>
    <t>Батарея электрическая, элемент питания . LR6, АА</t>
  </si>
  <si>
    <t>Бокс распределительный, навесной для автоматических выключателей, Количество модулей, шт. 1-2</t>
  </si>
  <si>
    <t>Бокс распределительный, навесной для автоматических выключателей, Количество модулей, шт. 3-4</t>
  </si>
  <si>
    <t>Бокс распределительный, навесной для автоматических выключателей, Количество модулей, шт. 8</t>
  </si>
  <si>
    <t>Воздуходувка электрическая</t>
  </si>
  <si>
    <t>Выключатель автоматический дифференциального тока 16 А</t>
  </si>
  <si>
    <t>Выключатель проходной, 1-клавишный</t>
  </si>
  <si>
    <t>Гофротруба Д.20 с протяжкой</t>
  </si>
  <si>
    <t>Гофротруба Д.25 с протяжкой</t>
  </si>
  <si>
    <t>Драйвер светильника</t>
  </si>
  <si>
    <t xml:space="preserve">Зажим винтовой ЗВИ 16-35 кв.мм полистирол </t>
  </si>
  <si>
    <t xml:space="preserve">Зажим винтовой ЗВИ 2,5-6 кв.мм полистирол </t>
  </si>
  <si>
    <t xml:space="preserve">Зажим винтовой ЗВИ 4-10 кв.мм полистирол </t>
  </si>
  <si>
    <t xml:space="preserve">Зажим винтовой ЗВИ 6-16 кв.мм полистирол </t>
  </si>
  <si>
    <t>Изолента  ПВХ белого цвета.</t>
  </si>
  <si>
    <t>Изолента  ПВХ черного цвета.</t>
  </si>
  <si>
    <t>Кабель ВВГ 5х185 мм²</t>
  </si>
  <si>
    <t>Кабель ВВГ3*1,5 мм²</t>
  </si>
  <si>
    <t>Кабель ВВГ3*2,5 мм²</t>
  </si>
  <si>
    <t>Кабель ТТР 3х2,5 мм²</t>
  </si>
  <si>
    <t>Кабель-канал 20х10мм. Длина 2м</t>
  </si>
  <si>
    <t>Кабель-канал 25х16мм. Длина 2м</t>
  </si>
  <si>
    <t>Кабель-канал 40х25мм. Длина 2м</t>
  </si>
  <si>
    <t>Кабель-канал напольный 75х17мм Длина 2м</t>
  </si>
  <si>
    <t xml:space="preserve">Контактор 65А </t>
  </si>
  <si>
    <t>Коробка   монтажная скрытого монтажа для ГКЛ 67х67х40 мм</t>
  </si>
  <si>
    <t>Коробка распределительная 140х190х70 мм</t>
  </si>
  <si>
    <t>Коробка распределительная 85х85х40 мм,</t>
  </si>
  <si>
    <t>Коробка распределительная открытой установк 100х100х40 мм</t>
  </si>
  <si>
    <t>Крепеж-клипса для труб для прямого монтажа серая  d16 мм</t>
  </si>
  <si>
    <t>Крепеж-клипса для труб для прямого монтажа серая  d20 мм</t>
  </si>
  <si>
    <t>Крепеж-клипса для труб для прямого монтажа серая  d25 мм</t>
  </si>
  <si>
    <t>Лампа светодиодная G45 Мощность, Вт 10, Тип цоколя E27</t>
  </si>
  <si>
    <t>Лампа светодиодная GX53 Мощность, Вт 12, Напряжение,В 180-240</t>
  </si>
  <si>
    <t>Лампа светодиодная MR16 GU10, 220 Вольт, Мощность, Вт 7</t>
  </si>
  <si>
    <t xml:space="preserve">Лампа светодиодная А60 Мощность, Вт 12, Напряжение, В 175-250 Вольт, Тип цоколя E27 </t>
  </si>
  <si>
    <t>Лампа светодиодная,  свеча, Мощность, 9 Вт Е14</t>
  </si>
  <si>
    <t>Лампа светодиодная,  свеча, Мощность, 9 Вт Е27</t>
  </si>
  <si>
    <t>Набор буров по бетону</t>
  </si>
  <si>
    <t>Набор</t>
  </si>
  <si>
    <t>Набор двухкомпонентного клея</t>
  </si>
  <si>
    <t>Пускатель 63А</t>
  </si>
  <si>
    <t>Розетка электрическая двуместная наружной установки.</t>
  </si>
  <si>
    <t>Розетка электрическая пятиместная наружной установки.</t>
  </si>
  <si>
    <t>Светильник для работы во влажной среде</t>
  </si>
  <si>
    <t>Светильник светодиодный 595х595х25мм. Мощность,  36 Ватт,
Напряжение 220 Вольт</t>
  </si>
  <si>
    <t>Светильник светодиодный. Мощность, Вт 18</t>
  </si>
  <si>
    <t>Светильник светодиодный. Мощность, Вт 18 с блоком аварийного питания</t>
  </si>
  <si>
    <t>Светодиодный прожектор, Мощность, Вт 100</t>
  </si>
  <si>
    <t>Соединительно изолирующий зажим (СИЗ)</t>
  </si>
  <si>
    <t>Таймер электронный, реле времени</t>
  </si>
  <si>
    <t>Тестер, индикатор напряжения светодиодный</t>
  </si>
  <si>
    <t>Тестер, индикатор напряжения звуковой</t>
  </si>
  <si>
    <t>ТЭН (Теплоэлектронагреватель)</t>
  </si>
  <si>
    <t>Удлинитель 1,5 м, Количество выходных розеток, 3 шт.</t>
  </si>
  <si>
    <t>Удлинитель 5 м., с шестью розетками с выключателем, Количество выходных розеток, шт. 6</t>
  </si>
  <si>
    <t>Шурупы по дереву с потайной головкой 3,5х55мм</t>
  </si>
  <si>
    <t>Шурупы по дереву  с потайной головкой,3,5х 25мм</t>
  </si>
  <si>
    <t>Шурупы с сверлящей головкой 4,2х16мм</t>
  </si>
  <si>
    <t>Шурупы с сверлящей головкой 4,2х32мм</t>
  </si>
  <si>
    <t>Арматура бачка унитаза (с нижней подводкой)</t>
  </si>
  <si>
    <t>Душевые шланги 150 см</t>
  </si>
  <si>
    <t>Клей 96 (монтажный)</t>
  </si>
  <si>
    <t>Ключ разводной (по размерам от 1 до 5)</t>
  </si>
  <si>
    <t>Крышка для унитаза</t>
  </si>
  <si>
    <t>Кувалда (8 кг)</t>
  </si>
  <si>
    <t>Муфта полипропиленовая  Ду 25</t>
  </si>
  <si>
    <t>Муфта полипропиленовая  Ду 32</t>
  </si>
  <si>
    <t>Муфта полипропиленовая  Ду 40</t>
  </si>
  <si>
    <t>Муфта полипропиленовая Ду 20</t>
  </si>
  <si>
    <t>Муфта полипропиленовая с внутренней резьбой  20х1/2"</t>
  </si>
  <si>
    <t>Муфта полипропиленовая с внутренней резьбой 25х1/2"</t>
  </si>
  <si>
    <t>Муфта полипропиленовая с внутренней резьбой 32х3/4"</t>
  </si>
  <si>
    <t>Муфта полипропиленовая с наружной резьбой  20х1/2"</t>
  </si>
  <si>
    <t>Муфта полипропиленовая с наружной резьбой  32х1"</t>
  </si>
  <si>
    <t>Муфта полипропиленовая с наружной резьбой 25х1/2"</t>
  </si>
  <si>
    <t>Набор газовых ключей (по размерам от 1 до 5)</t>
  </si>
  <si>
    <t>Набор инструментов для вентиляционщика</t>
  </si>
  <si>
    <t>Набор инструментов для сантехника</t>
  </si>
  <si>
    <t>Набор сверл (по металлу)</t>
  </si>
  <si>
    <t>Набор шестигранников</t>
  </si>
  <si>
    <t>Отрезной диск  по металлу 125мм</t>
  </si>
  <si>
    <t xml:space="preserve">Отрезной диск по металлу 180мм </t>
  </si>
  <si>
    <t>Пена монтажная огнестойкая Огнетитан</t>
  </si>
  <si>
    <t xml:space="preserve">Подводка гибкая (шланг) для раковины 60см </t>
  </si>
  <si>
    <t>Подводка гибкая (шланг) для унитаза 80 см</t>
  </si>
  <si>
    <t xml:space="preserve">Пресс гидралический для опрессовки системы отопления </t>
  </si>
  <si>
    <t xml:space="preserve">Силикон герметик </t>
  </si>
  <si>
    <t>Скотч двухсторонний</t>
  </si>
  <si>
    <t>Смеситель кухонный с большим гусаком.</t>
  </si>
  <si>
    <t xml:space="preserve">Смеситель с душем и верхней лейкой </t>
  </si>
  <si>
    <t>Сместитель для ванной с душевой лейкой</t>
  </si>
  <si>
    <t xml:space="preserve">шт </t>
  </si>
  <si>
    <t>Сместитель для раковины в ванной</t>
  </si>
  <si>
    <t>Тиски</t>
  </si>
  <si>
    <t>Трос сантехнический.</t>
  </si>
  <si>
    <t>Труба канализационная ПВХ DN 110</t>
  </si>
  <si>
    <t>Труба полипропиленовая dn20</t>
  </si>
  <si>
    <t>м</t>
  </si>
  <si>
    <t>Унитаз</t>
  </si>
  <si>
    <t>Фонарь (налобный)</t>
  </si>
  <si>
    <t>Фум-лента сантехническая.</t>
  </si>
  <si>
    <t>Дюбель-гвоздь</t>
  </si>
  <si>
    <t>Кисть</t>
  </si>
  <si>
    <t>Клей вместо гвоздей</t>
  </si>
  <si>
    <t>Клей плиточный</t>
  </si>
  <si>
    <t>Краска</t>
  </si>
  <si>
    <t>Лента малярная</t>
  </si>
  <si>
    <t>Набор (валик, ванночка)</t>
  </si>
  <si>
    <t>Набор бит</t>
  </si>
  <si>
    <t>Набор бур для перфоратора</t>
  </si>
  <si>
    <t>Набор стамесок</t>
  </si>
  <si>
    <t>Набор стамесок-долот</t>
  </si>
  <si>
    <t>Пена монтажная</t>
  </si>
  <si>
    <t>Перчатки</t>
  </si>
  <si>
    <t>Проволока вязальная</t>
  </si>
  <si>
    <t>Кг.</t>
  </si>
  <si>
    <t>Саморезы 3,5х41 мм.</t>
  </si>
  <si>
    <t>Саморезы 4,2х75 мм.</t>
  </si>
  <si>
    <t>Сигнальная лента</t>
  </si>
  <si>
    <t>Шпатлевка</t>
  </si>
  <si>
    <t>Штукатурка</t>
  </si>
  <si>
    <t>Цилиндровый механизм</t>
  </si>
  <si>
    <t>Ботинки борцовские (красного, синего цветов)</t>
  </si>
  <si>
    <t>Спортивный костюм</t>
  </si>
  <si>
    <t>Утепленный спортивный костюм</t>
  </si>
  <si>
    <t>Бейсболка и (или) кепка</t>
  </si>
  <si>
    <t>Расчет расходов коммунальных услуг на 2025 год</t>
  </si>
  <si>
    <t>Корректировка бюджета</t>
  </si>
  <si>
    <t>Израсходованная сумма тыс. тенге</t>
  </si>
  <si>
    <t xml:space="preserve">Новый тариф  </t>
  </si>
  <si>
    <t>кубический метр в месяц</t>
  </si>
  <si>
    <t>Сумма с учетом на нового тарифа на 4 месяцев тыс. тенге</t>
  </si>
  <si>
    <t>Сумма, необходимая на покрытие расходов, тыс. тенге</t>
  </si>
  <si>
    <t>Израсходованная сумма</t>
  </si>
  <si>
    <t xml:space="preserve">Сумма с учетом на нового тарифа на 4 месяцев </t>
  </si>
  <si>
    <t>Новый тариф  в тенге</t>
  </si>
  <si>
    <t>Ед.измерения Гкал* в месяц</t>
  </si>
  <si>
    <t>Сумма с учетом на нового тарифа на 5 месяцев тыс. тенге</t>
  </si>
  <si>
    <t xml:space="preserve">Директор     </t>
  </si>
  <si>
    <t>Ж. Ушкемпиров</t>
  </si>
  <si>
    <t xml:space="preserve">Заместитель директора по финансовой </t>
  </si>
  <si>
    <t>и организационной деятельности</t>
  </si>
  <si>
    <t>Е. Акимжанов</t>
  </si>
  <si>
    <t>Общая сумма расходов тыс. тенге</t>
  </si>
  <si>
    <t xml:space="preserve">Командировки и служебные разъезды внутри и за пределами страны </t>
  </si>
  <si>
    <t>Республиканский бюджет</t>
  </si>
  <si>
    <t>план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</si>
</sst>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164" formatCode="_-* #,##0.00\ _₸_-;\-* #,##0.00\ _₸_-;_-* &quot;-&quot;??\ _₸_-;_-@_-"/>
    <numFmt numFmtId="165" formatCode="_-* #,##0.00\ _₽_-;\-* #,##0.00\ _₽_-;_-* &quot;-&quot;??\ _₽_-;_-@_-"/>
    <numFmt numFmtId="166" formatCode="#,##0_ ;\-#,##0\ "/>
    <numFmt numFmtId="167" formatCode="#,##0.0"/>
    <numFmt numFmtId="168" formatCode="0.0"/>
    <numFmt numFmtId="169" formatCode="_-* #,##0.00_р_._-;\-* #,##0.00_р_._-;_-* &quot;-&quot;??_р_._-;_-@_-"/>
    <numFmt numFmtId="170" formatCode="_(* #,##0.00_);_(* \(#,##0.00\);_(* &quot;-&quot;??_);_(@_)"/>
    <numFmt numFmtId="171" formatCode="_-* #,##0\ _₽_-;\-* #,##0\ _₽_-;_-* &quot;-&quot;??\ _₽_-;_-@_-"/>
    <numFmt numFmtId="172" formatCode="_-* #,##0.0_р_._-;\-* #,##0.0_р_._-;_-* &quot;-&quot;??_р_._-;_-@_-"/>
    <numFmt numFmtId="173" formatCode="_-* #,##0_р_._-;\-* #,##0_р_._-;_-* &quot;-&quot;??_р_._-;_-@_-"/>
    <numFmt numFmtId="174" formatCode="#,##0.000"/>
    <numFmt numFmtId="175" formatCode="_-&quot;Т&quot;* #,##0_-;\-&quot;Т&quot;* #,##0_-;_-&quot;Т&quot;* &quot;-&quot;_-;_-@_-"/>
    <numFmt numFmtId="176" formatCode="#,##0&quot;  &quot;"/>
    <numFmt numFmtId="177" formatCode="#,##0_р_."/>
    <numFmt numFmtId="178" formatCode="#,##0.0000"/>
    <numFmt numFmtId="179" formatCode="#,##0.0_ ;\-#,##0.0\ "/>
    <numFmt numFmtId="180" formatCode="_-* #,##0\ _₽_-;\-* #,##0\ _₽_-;_-* &quot;-&quot;?\ _₽_-;_-@_-"/>
    <numFmt numFmtId="181" formatCode="_-* #,##0.0\ _₽_-;\-* #,##0.0\ _₽_-;_-* &quot;-&quot;??\ _₽_-;_-@_-"/>
    <numFmt numFmtId="182" formatCode="_-* #,##0.0\ _₽_-;\-* #,##0.0\ _₽_-;_-* &quot;-&quot;?\ _₽_-;_-@_-"/>
    <numFmt numFmtId="183" formatCode="_-* #,##0.000\ _₽_-;\-* #,##0.000\ _₽_-;_-* &quot;-&quot;?\ _₽_-;_-@_-"/>
    <numFmt numFmtId="184" formatCode="0.00000"/>
    <numFmt numFmtId="185" formatCode="#,##0\ _₽"/>
    <numFmt numFmtId="186" formatCode="_-* #,##0.0_-;\-* #,##0.0_-;_-* &quot;-&quot;??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 Cyr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Times New Roman CYR"/>
      <charset val="204"/>
    </font>
    <font>
      <sz val="10"/>
      <name val="Helv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indexed="8"/>
      <name val="Times New Roman"/>
      <family val="1"/>
      <charset val="204"/>
    </font>
    <font>
      <sz val="55"/>
      <name val="Times New Roman"/>
      <family val="1"/>
      <charset val="204"/>
    </font>
    <font>
      <i/>
      <sz val="55"/>
      <name val="Times New Roman"/>
      <family val="1"/>
      <charset val="204"/>
    </font>
    <font>
      <sz val="55"/>
      <color indexed="8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5"/>
      <name val="Times New Roman"/>
      <family val="1"/>
      <charset val="204"/>
    </font>
    <font>
      <b/>
      <i/>
      <sz val="55"/>
      <name val="Times New Roman"/>
      <family val="1"/>
      <charset val="204"/>
    </font>
    <font>
      <b/>
      <sz val="55"/>
      <color indexed="8"/>
      <name val="Times New Roman"/>
      <family val="1"/>
      <charset val="204"/>
    </font>
    <font>
      <i/>
      <sz val="55"/>
      <color theme="1"/>
      <name val="Times New Roman"/>
      <family val="1"/>
      <charset val="204"/>
    </font>
    <font>
      <sz val="55"/>
      <color theme="1"/>
      <name val="Calibri"/>
      <family val="2"/>
      <charset val="204"/>
      <scheme val="minor"/>
    </font>
    <font>
      <sz val="55"/>
      <name val="Calibri"/>
      <family val="2"/>
      <charset val="204"/>
      <scheme val="minor"/>
    </font>
    <font>
      <sz val="55"/>
      <color rgb="FF000000"/>
      <name val="Times New Roman"/>
      <family val="1"/>
      <charset val="204"/>
    </font>
    <font>
      <b/>
      <sz val="52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b/>
      <sz val="52"/>
      <name val="Times New Roman"/>
      <family val="1"/>
      <charset val="204"/>
    </font>
    <font>
      <b/>
      <i/>
      <sz val="52"/>
      <name val="Times New Roman"/>
      <family val="1"/>
      <charset val="204"/>
    </font>
    <font>
      <i/>
      <sz val="52"/>
      <color theme="1"/>
      <name val="Times New Roman"/>
      <family val="1"/>
      <charset val="204"/>
    </font>
    <font>
      <sz val="52"/>
      <name val="Times New Roman"/>
      <family val="1"/>
      <charset val="204"/>
    </font>
    <font>
      <i/>
      <sz val="52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2"/>
      <color theme="1"/>
      <name val="Calibri"/>
      <family val="2"/>
      <charset val="204"/>
      <scheme val="minor"/>
    </font>
    <font>
      <sz val="52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 Cyr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name val="Times New Roman Cyr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color theme="1"/>
      <name val="Times New Roman Cyr"/>
      <charset val="204"/>
    </font>
    <font>
      <b/>
      <sz val="12"/>
      <color rgb="FF1E1E1E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 Cyr"/>
      <charset val="204"/>
    </font>
    <font>
      <sz val="11"/>
      <color indexed="8"/>
      <name val="Times New Roman Cyr"/>
      <charset val="204"/>
    </font>
    <font>
      <b/>
      <sz val="11"/>
      <color indexed="8"/>
      <name val="Times New Roman Cyr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 Cyr"/>
      <charset val="204"/>
    </font>
    <font>
      <i/>
      <sz val="12"/>
      <name val="Times New Roman CYR"/>
      <charset val="204"/>
    </font>
    <font>
      <b/>
      <sz val="12"/>
      <color rgb="FF000000"/>
      <name val="Times New Roman Cyr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 CE"/>
      <charset val="204"/>
    </font>
    <font>
      <i/>
      <sz val="12"/>
      <color rgb="FF000000"/>
      <name val="Times New Roman"/>
      <family val="1"/>
      <charset val="204"/>
    </font>
    <font>
      <b/>
      <sz val="50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55"/>
      <color rgb="FFFF0000"/>
      <name val="Times New Roman"/>
      <family val="1"/>
      <charset val="204"/>
    </font>
    <font>
      <sz val="50"/>
      <color theme="1"/>
      <name val="Calibri"/>
      <family val="2"/>
      <scheme val="minor"/>
    </font>
    <font>
      <b/>
      <sz val="72"/>
      <color rgb="FF000000"/>
      <name val="Times New Roman"/>
      <family val="1"/>
      <charset val="204"/>
    </font>
    <font>
      <sz val="50"/>
      <color indexed="8"/>
      <name val="Times New Roman"/>
      <family val="1"/>
      <charset val="204"/>
    </font>
    <font>
      <sz val="50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 Cyr"/>
      <charset val="204"/>
    </font>
    <font>
      <sz val="16"/>
      <color theme="1"/>
      <name val="Calibri"/>
      <family val="2"/>
      <scheme val="minor"/>
    </font>
    <font>
      <sz val="16"/>
      <name val="Times New Roman Cyr"/>
      <charset val="204"/>
    </font>
    <font>
      <sz val="14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303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165" fontId="1" fillId="0" borderId="0" applyFont="0" applyFill="0" applyBorder="0" applyAlignment="0" applyProtection="0"/>
    <xf numFmtId="0" fontId="11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" fillId="0" borderId="0"/>
    <xf numFmtId="0" fontId="13" fillId="0" borderId="0"/>
    <xf numFmtId="0" fontId="24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170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31" fillId="0" borderId="19" applyNumberFormat="0" applyBorder="0">
      <alignment horizontal="left" vertical="top" wrapText="1"/>
    </xf>
    <xf numFmtId="0" fontId="13" fillId="0" borderId="0"/>
    <xf numFmtId="0" fontId="71" fillId="0" borderId="0"/>
    <xf numFmtId="0" fontId="91" fillId="0" borderId="0" applyNumberForma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1826">
    <xf numFmtId="0" fontId="0" fillId="0" borderId="0" xfId="0"/>
    <xf numFmtId="0" fontId="3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166" fontId="3" fillId="0" borderId="0" xfId="1" applyNumberFormat="1" applyFont="1" applyFill="1" applyBorder="1" applyAlignment="1">
      <alignment horizontal="left" vertical="center" wrapText="1"/>
    </xf>
    <xf numFmtId="0" fontId="15" fillId="0" borderId="0" xfId="6" applyFont="1"/>
    <xf numFmtId="0" fontId="16" fillId="0" borderId="0" xfId="6" applyFont="1"/>
    <xf numFmtId="3" fontId="15" fillId="0" borderId="0" xfId="6" applyNumberFormat="1" applyFont="1" applyAlignment="1">
      <alignment horizontal="center"/>
    </xf>
    <xf numFmtId="0" fontId="17" fillId="0" borderId="0" xfId="6" applyFont="1" applyAlignment="1">
      <alignment horizontal="right"/>
    </xf>
    <xf numFmtId="4" fontId="15" fillId="0" borderId="0" xfId="6" applyNumberFormat="1" applyFont="1"/>
    <xf numFmtId="0" fontId="16" fillId="0" borderId="0" xfId="6" applyFont="1" applyAlignment="1">
      <alignment vertical="center" wrapText="1"/>
    </xf>
    <xf numFmtId="0" fontId="18" fillId="0" borderId="0" xfId="6" applyFont="1" applyAlignment="1">
      <alignment vertical="center" wrapText="1"/>
    </xf>
    <xf numFmtId="3" fontId="18" fillId="0" borderId="0" xfId="6" applyNumberFormat="1" applyFont="1" applyAlignment="1">
      <alignment horizontal="center" vertical="center" wrapText="1"/>
    </xf>
    <xf numFmtId="3" fontId="18" fillId="0" borderId="0" xfId="6" applyNumberFormat="1" applyFont="1" applyAlignment="1">
      <alignment horizontal="right" vertical="center" wrapText="1"/>
    </xf>
    <xf numFmtId="4" fontId="18" fillId="0" borderId="0" xfId="6" applyNumberFormat="1" applyFont="1" applyAlignment="1">
      <alignment vertical="center" wrapText="1"/>
    </xf>
    <xf numFmtId="0" fontId="16" fillId="0" borderId="0" xfId="6" applyFont="1" applyAlignment="1">
      <alignment horizontal="center" vertical="center" wrapText="1"/>
    </xf>
    <xf numFmtId="0" fontId="18" fillId="0" borderId="0" xfId="6" applyFont="1" applyAlignment="1">
      <alignment horizontal="left" vertical="center" wrapText="1"/>
    </xf>
    <xf numFmtId="49" fontId="16" fillId="0" borderId="0" xfId="7" applyNumberFormat="1" applyFont="1" applyAlignment="1">
      <alignment horizontal="center" vertical="center" wrapText="1"/>
    </xf>
    <xf numFmtId="2" fontId="16" fillId="0" borderId="0" xfId="7" applyNumberFormat="1" applyFont="1" applyAlignment="1">
      <alignment horizontal="center" vertical="center" wrapText="1"/>
    </xf>
    <xf numFmtId="0" fontId="16" fillId="0" borderId="0" xfId="6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4" fontId="18" fillId="0" borderId="0" xfId="7" applyNumberFormat="1" applyFont="1" applyAlignment="1">
      <alignment vertical="center" wrapText="1"/>
    </xf>
    <xf numFmtId="0" fontId="18" fillId="0" borderId="0" xfId="7" applyFont="1" applyAlignment="1">
      <alignment vertical="center" wrapText="1"/>
    </xf>
    <xf numFmtId="2" fontId="16" fillId="0" borderId="0" xfId="7" applyNumberFormat="1" applyFont="1" applyAlignment="1">
      <alignment horizontal="center" vertical="center"/>
    </xf>
    <xf numFmtId="0" fontId="16" fillId="0" borderId="19" xfId="7" applyFont="1" applyBorder="1" applyAlignment="1">
      <alignment vertical="center" wrapText="1"/>
    </xf>
    <xf numFmtId="0" fontId="16" fillId="0" borderId="0" xfId="7" applyFont="1" applyAlignment="1">
      <alignment vertical="center" wrapText="1"/>
    </xf>
    <xf numFmtId="4" fontId="16" fillId="0" borderId="0" xfId="7" applyNumberFormat="1" applyFont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8" fillId="0" borderId="20" xfId="7" applyFont="1" applyBorder="1" applyAlignment="1">
      <alignment horizontal="center" vertical="center" wrapText="1"/>
    </xf>
    <xf numFmtId="3" fontId="18" fillId="0" borderId="20" xfId="7" applyNumberFormat="1" applyFont="1" applyBorder="1" applyAlignment="1">
      <alignment horizontal="center" vertical="center" wrapText="1"/>
    </xf>
    <xf numFmtId="3" fontId="18" fillId="0" borderId="21" xfId="7" applyNumberFormat="1" applyFont="1" applyBorder="1" applyAlignment="1">
      <alignment horizontal="center" vertical="center" wrapText="1"/>
    </xf>
    <xf numFmtId="3" fontId="18" fillId="0" borderId="0" xfId="7" applyNumberFormat="1" applyFont="1" applyAlignment="1">
      <alignment horizontal="center" vertical="center" wrapText="1"/>
    </xf>
    <xf numFmtId="4" fontId="18" fillId="0" borderId="0" xfId="7" applyNumberFormat="1" applyFont="1" applyAlignment="1">
      <alignment horizontal="center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0" fontId="16" fillId="0" borderId="0" xfId="7" applyFont="1" applyAlignment="1">
      <alignment horizontal="center" vertical="center"/>
    </xf>
    <xf numFmtId="0" fontId="16" fillId="0" borderId="20" xfId="7" applyFont="1" applyBorder="1" applyAlignment="1">
      <alignment horizontal="center" vertical="center" wrapText="1"/>
    </xf>
    <xf numFmtId="0" fontId="16" fillId="0" borderId="20" xfId="7" applyFont="1" applyBorder="1" applyAlignment="1">
      <alignment horizontal="left" vertical="center" wrapText="1"/>
    </xf>
    <xf numFmtId="2" fontId="16" fillId="0" borderId="20" xfId="7" applyNumberFormat="1" applyFont="1" applyBorder="1" applyAlignment="1">
      <alignment horizontal="center" vertical="center" wrapText="1"/>
    </xf>
    <xf numFmtId="3" fontId="16" fillId="0" borderId="20" xfId="8" applyNumberFormat="1" applyFont="1" applyFill="1" applyBorder="1" applyAlignment="1">
      <alignment horizontal="center" vertical="center" wrapText="1"/>
    </xf>
    <xf numFmtId="3" fontId="16" fillId="0" borderId="20" xfId="7" applyNumberFormat="1" applyFont="1" applyBorder="1" applyAlignment="1">
      <alignment horizontal="center" vertical="center" wrapText="1"/>
    </xf>
    <xf numFmtId="4" fontId="16" fillId="0" borderId="20" xfId="7" applyNumberFormat="1" applyFont="1" applyBorder="1" applyAlignment="1">
      <alignment horizontal="center" vertical="center" wrapText="1"/>
    </xf>
    <xf numFmtId="3" fontId="16" fillId="0" borderId="0" xfId="7" applyNumberFormat="1" applyFont="1" applyAlignment="1">
      <alignment horizontal="center" vertical="center" wrapText="1"/>
    </xf>
    <xf numFmtId="0" fontId="16" fillId="0" borderId="20" xfId="7" applyFont="1" applyBorder="1" applyAlignment="1">
      <alignment vertical="center" wrapText="1"/>
    </xf>
    <xf numFmtId="16" fontId="16" fillId="0" borderId="20" xfId="7" applyNumberFormat="1" applyFont="1" applyBorder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2" fontId="16" fillId="0" borderId="20" xfId="7" applyNumberFormat="1" applyFont="1" applyBorder="1" applyAlignment="1">
      <alignment horizontal="left" vertical="center" wrapText="1"/>
    </xf>
    <xf numFmtId="3" fontId="16" fillId="0" borderId="23" xfId="6" applyNumberFormat="1" applyFont="1" applyBorder="1" applyAlignment="1">
      <alignment horizontal="center" vertical="center" wrapText="1"/>
    </xf>
    <xf numFmtId="1" fontId="16" fillId="0" borderId="20" xfId="9" applyNumberFormat="1" applyFont="1" applyBorder="1" applyAlignment="1">
      <alignment horizontal="left" vertical="center" wrapText="1"/>
    </xf>
    <xf numFmtId="2" fontId="16" fillId="0" borderId="20" xfId="9" applyNumberFormat="1" applyFont="1" applyBorder="1" applyAlignment="1">
      <alignment horizontal="left" vertical="center" wrapText="1"/>
    </xf>
    <xf numFmtId="2" fontId="16" fillId="0" borderId="20" xfId="9" applyNumberFormat="1" applyFont="1" applyBorder="1" applyAlignment="1">
      <alignment horizontal="center" vertical="center" wrapText="1"/>
    </xf>
    <xf numFmtId="3" fontId="16" fillId="0" borderId="20" xfId="10" applyNumberFormat="1" applyFont="1" applyFill="1" applyBorder="1" applyAlignment="1">
      <alignment horizontal="center" vertical="center" wrapText="1"/>
    </xf>
    <xf numFmtId="0" fontId="16" fillId="0" borderId="20" xfId="9" applyFont="1" applyBorder="1" applyAlignment="1">
      <alignment horizontal="center" vertical="center" wrapText="1"/>
    </xf>
    <xf numFmtId="3" fontId="16" fillId="0" borderId="20" xfId="9" applyNumberFormat="1" applyFont="1" applyBorder="1" applyAlignment="1">
      <alignment horizontal="center" vertical="center" wrapText="1"/>
    </xf>
    <xf numFmtId="4" fontId="16" fillId="0" borderId="20" xfId="9" applyNumberFormat="1" applyFont="1" applyBorder="1" applyAlignment="1">
      <alignment horizontal="center" vertical="center" wrapText="1"/>
    </xf>
    <xf numFmtId="3" fontId="16" fillId="0" borderId="20" xfId="11" applyNumberFormat="1" applyFont="1" applyFill="1" applyBorder="1" applyAlignment="1">
      <alignment horizontal="center" vertical="center" wrapText="1"/>
    </xf>
    <xf numFmtId="3" fontId="16" fillId="0" borderId="20" xfId="6" applyNumberFormat="1" applyFont="1" applyBorder="1" applyAlignment="1">
      <alignment horizontal="center" vertical="center" wrapText="1"/>
    </xf>
    <xf numFmtId="3" fontId="16" fillId="0" borderId="0" xfId="9" applyNumberFormat="1" applyFont="1" applyAlignment="1">
      <alignment horizontal="center" vertical="center" wrapText="1"/>
    </xf>
    <xf numFmtId="4" fontId="18" fillId="0" borderId="0" xfId="9" applyNumberFormat="1" applyFont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16" fillId="0" borderId="0" xfId="9" applyFont="1" applyAlignment="1">
      <alignment horizontal="center" vertical="center" wrapText="1"/>
    </xf>
    <xf numFmtId="49" fontId="16" fillId="0" borderId="20" xfId="12" applyNumberFormat="1" applyFont="1" applyBorder="1" applyAlignment="1">
      <alignment horizontal="center" vertical="center"/>
    </xf>
    <xf numFmtId="2" fontId="16" fillId="0" borderId="20" xfId="12" applyNumberFormat="1" applyFont="1" applyBorder="1" applyAlignment="1">
      <alignment horizontal="center" vertical="center"/>
    </xf>
    <xf numFmtId="1" fontId="16" fillId="0" borderId="20" xfId="9" applyNumberFormat="1" applyFont="1" applyBorder="1" applyAlignment="1">
      <alignment horizontal="center" vertical="center" wrapText="1"/>
    </xf>
    <xf numFmtId="1" fontId="16" fillId="0" borderId="20" xfId="9" applyNumberFormat="1" applyFont="1" applyBorder="1" applyAlignment="1">
      <alignment horizontal="center" vertical="center"/>
    </xf>
    <xf numFmtId="168" fontId="16" fillId="0" borderId="20" xfId="9" applyNumberFormat="1" applyFont="1" applyBorder="1" applyAlignment="1">
      <alignment horizontal="center" vertical="center" wrapText="1"/>
    </xf>
    <xf numFmtId="0" fontId="16" fillId="0" borderId="20" xfId="12" applyFont="1" applyBorder="1" applyAlignment="1">
      <alignment horizontal="center" vertical="center"/>
    </xf>
    <xf numFmtId="0" fontId="16" fillId="0" borderId="20" xfId="12" applyFont="1" applyBorder="1" applyAlignment="1">
      <alignment horizontal="left" vertical="center" wrapText="1"/>
    </xf>
    <xf numFmtId="3" fontId="16" fillId="0" borderId="20" xfId="12" applyNumberFormat="1" applyFont="1" applyBorder="1" applyAlignment="1">
      <alignment horizontal="center" vertical="center"/>
    </xf>
    <xf numFmtId="167" fontId="16" fillId="0" borderId="20" xfId="10" applyNumberFormat="1" applyFont="1" applyFill="1" applyBorder="1" applyAlignment="1">
      <alignment horizontal="center" vertical="center" wrapText="1"/>
    </xf>
    <xf numFmtId="0" fontId="16" fillId="0" borderId="20" xfId="6" applyFont="1" applyBorder="1" applyAlignment="1">
      <alignment horizontal="left" vertical="center" wrapText="1"/>
    </xf>
    <xf numFmtId="0" fontId="16" fillId="0" borderId="24" xfId="7" applyFont="1" applyBorder="1" applyAlignment="1">
      <alignment horizontal="left" vertical="center" wrapText="1"/>
    </xf>
    <xf numFmtId="2" fontId="16" fillId="0" borderId="20" xfId="6" applyNumberFormat="1" applyFont="1" applyBorder="1" applyAlignment="1">
      <alignment horizontal="center" vertical="center" wrapText="1"/>
    </xf>
    <xf numFmtId="0" fontId="16" fillId="0" borderId="20" xfId="6" applyFont="1" applyBorder="1" applyAlignment="1">
      <alignment horizontal="center" vertical="center" wrapText="1"/>
    </xf>
    <xf numFmtId="1" fontId="16" fillId="0" borderId="20" xfId="10" applyNumberFormat="1" applyFont="1" applyFill="1" applyBorder="1" applyAlignment="1">
      <alignment horizontal="center" vertical="center" wrapText="1"/>
    </xf>
    <xf numFmtId="0" fontId="18" fillId="0" borderId="24" xfId="7" applyFont="1" applyBorder="1" applyAlignment="1">
      <alignment horizontal="center" vertical="center" wrapText="1"/>
    </xf>
    <xf numFmtId="1" fontId="16" fillId="0" borderId="20" xfId="6" applyNumberFormat="1" applyFont="1" applyBorder="1" applyAlignment="1">
      <alignment horizontal="center" vertical="center" wrapText="1"/>
    </xf>
    <xf numFmtId="0" fontId="18" fillId="0" borderId="20" xfId="6" applyFont="1" applyBorder="1" applyAlignment="1">
      <alignment horizontal="center" vertical="center" wrapText="1"/>
    </xf>
    <xf numFmtId="3" fontId="18" fillId="0" borderId="0" xfId="10" applyNumberFormat="1" applyFont="1" applyFill="1" applyBorder="1" applyAlignment="1">
      <alignment horizontal="center" vertical="center" wrapText="1"/>
    </xf>
    <xf numFmtId="3" fontId="18" fillId="0" borderId="20" xfId="8" applyNumberFormat="1" applyFont="1" applyFill="1" applyBorder="1" applyAlignment="1">
      <alignment horizontal="center" vertical="center" wrapText="1"/>
    </xf>
    <xf numFmtId="3" fontId="18" fillId="0" borderId="0" xfId="8" applyNumberFormat="1" applyFont="1" applyFill="1" applyBorder="1" applyAlignment="1">
      <alignment horizontal="center" vertical="center" wrapText="1"/>
    </xf>
    <xf numFmtId="0" fontId="17" fillId="0" borderId="20" xfId="6" applyFont="1" applyBorder="1" applyAlignment="1">
      <alignment horizontal="center" vertical="center" wrapText="1"/>
    </xf>
    <xf numFmtId="4" fontId="18" fillId="0" borderId="0" xfId="8" applyNumberFormat="1" applyFont="1" applyFill="1" applyBorder="1" applyAlignment="1">
      <alignment horizontal="center" vertical="center" wrapText="1"/>
    </xf>
    <xf numFmtId="166" fontId="18" fillId="0" borderId="0" xfId="8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13" applyFont="1"/>
    <xf numFmtId="0" fontId="20" fillId="0" borderId="0" xfId="0" applyFont="1"/>
    <xf numFmtId="167" fontId="18" fillId="0" borderId="0" xfId="8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2" fillId="0" borderId="0" xfId="6" applyNumberFormat="1" applyFont="1" applyAlignment="1">
      <alignment horizontal="center"/>
    </xf>
    <xf numFmtId="0" fontId="23" fillId="0" borderId="0" xfId="3" applyFont="1"/>
    <xf numFmtId="0" fontId="16" fillId="0" borderId="0" xfId="7" applyFont="1"/>
    <xf numFmtId="0" fontId="18" fillId="0" borderId="0" xfId="14" applyFont="1" applyAlignment="1">
      <alignment wrapText="1"/>
    </xf>
    <xf numFmtId="0" fontId="18" fillId="0" borderId="0" xfId="14" applyFont="1" applyAlignment="1">
      <alignment horizontal="left" wrapText="1"/>
    </xf>
    <xf numFmtId="3" fontId="16" fillId="0" borderId="0" xfId="8" applyNumberFormat="1" applyFont="1" applyFill="1" applyBorder="1" applyAlignment="1">
      <alignment horizontal="center" vertical="center" wrapText="1"/>
    </xf>
    <xf numFmtId="3" fontId="25" fillId="0" borderId="0" xfId="7" applyNumberFormat="1" applyFont="1" applyAlignment="1">
      <alignment horizontal="center"/>
    </xf>
    <xf numFmtId="0" fontId="25" fillId="0" borderId="0" xfId="7" applyFont="1"/>
    <xf numFmtId="3" fontId="23" fillId="0" borderId="0" xfId="7" applyNumberFormat="1" applyFont="1" applyAlignment="1">
      <alignment horizontal="center"/>
    </xf>
    <xf numFmtId="0" fontId="23" fillId="0" borderId="0" xfId="3" applyFont="1" applyAlignment="1">
      <alignment horizontal="left"/>
    </xf>
    <xf numFmtId="4" fontId="16" fillId="0" borderId="0" xfId="8" applyNumberFormat="1" applyFont="1" applyFill="1" applyBorder="1" applyAlignment="1">
      <alignment horizontal="center" vertical="center" wrapText="1"/>
    </xf>
    <xf numFmtId="0" fontId="16" fillId="0" borderId="0" xfId="13" applyFont="1"/>
    <xf numFmtId="167" fontId="16" fillId="0" borderId="0" xfId="8" applyNumberFormat="1" applyFont="1" applyFill="1" applyBorder="1" applyAlignment="1">
      <alignment horizontal="center" vertical="center" wrapText="1"/>
    </xf>
    <xf numFmtId="3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15" fillId="0" borderId="0" xfId="6" applyFont="1" applyAlignment="1">
      <alignment horizontal="right"/>
    </xf>
    <xf numFmtId="1" fontId="16" fillId="0" borderId="0" xfId="10" applyNumberFormat="1" applyFont="1" applyFill="1" applyBorder="1" applyAlignment="1">
      <alignment horizontal="center" vertical="center" wrapText="1"/>
    </xf>
    <xf numFmtId="2" fontId="16" fillId="0" borderId="0" xfId="10" applyNumberFormat="1" applyFont="1" applyFill="1" applyBorder="1" applyAlignment="1">
      <alignment horizontal="center" vertical="center" wrapText="1"/>
    </xf>
    <xf numFmtId="2" fontId="15" fillId="0" borderId="0" xfId="6" applyNumberFormat="1" applyFont="1" applyAlignment="1">
      <alignment horizontal="center"/>
    </xf>
    <xf numFmtId="1" fontId="18" fillId="0" borderId="0" xfId="10" applyNumberFormat="1" applyFont="1" applyFill="1" applyBorder="1" applyAlignment="1">
      <alignment horizontal="center" vertical="center" wrapText="1"/>
    </xf>
    <xf numFmtId="0" fontId="16" fillId="0" borderId="0" xfId="7" applyFont="1" applyAlignment="1">
      <alignment horizontal="left" vertical="center" wrapText="1"/>
    </xf>
    <xf numFmtId="3" fontId="2" fillId="0" borderId="0" xfId="6" applyNumberFormat="1" applyFont="1" applyAlignment="1">
      <alignment vertical="center"/>
    </xf>
    <xf numFmtId="0" fontId="30" fillId="2" borderId="0" xfId="15" applyFont="1" applyFill="1" applyAlignment="1">
      <alignment horizontal="center"/>
    </xf>
    <xf numFmtId="0" fontId="31" fillId="0" borderId="0" xfId="6" applyFont="1"/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26" fillId="0" borderId="0" xfId="14" applyFont="1"/>
    <xf numFmtId="0" fontId="30" fillId="0" borderId="0" xfId="6" applyFont="1"/>
    <xf numFmtId="0" fontId="2" fillId="0" borderId="0" xfId="0" applyFont="1" applyAlignment="1">
      <alignment horizontal="left" vertical="center"/>
    </xf>
    <xf numFmtId="0" fontId="10" fillId="0" borderId="0" xfId="6" applyFont="1"/>
    <xf numFmtId="0" fontId="36" fillId="0" borderId="20" xfId="36" applyFont="1" applyBorder="1" applyAlignment="1">
      <alignment horizontal="center" vertical="center" wrapText="1"/>
    </xf>
    <xf numFmtId="0" fontId="37" fillId="0" borderId="20" xfId="36" applyFont="1" applyBorder="1" applyAlignment="1">
      <alignment horizontal="center" vertical="center" wrapText="1"/>
    </xf>
    <xf numFmtId="0" fontId="36" fillId="0" borderId="20" xfId="36" applyFont="1" applyBorder="1" applyAlignment="1">
      <alignment vertical="center" wrapText="1"/>
    </xf>
    <xf numFmtId="49" fontId="38" fillId="0" borderId="20" xfId="33" applyNumberFormat="1" applyFont="1" applyBorder="1" applyAlignment="1">
      <alignment horizontal="center" vertical="center" wrapText="1"/>
    </xf>
    <xf numFmtId="49" fontId="38" fillId="0" borderId="20" xfId="29" applyNumberFormat="1" applyFont="1" applyBorder="1" applyAlignment="1">
      <alignment horizontal="left" vertical="center" wrapText="1"/>
    </xf>
    <xf numFmtId="0" fontId="38" fillId="0" borderId="20" xfId="33" applyFont="1" applyBorder="1" applyAlignment="1">
      <alignment horizontal="center" vertical="center" wrapText="1"/>
    </xf>
    <xf numFmtId="0" fontId="36" fillId="0" borderId="20" xfId="29" applyFont="1" applyBorder="1" applyAlignment="1">
      <alignment horizontal="center" vertical="center" wrapText="1"/>
    </xf>
    <xf numFmtId="3" fontId="38" fillId="0" borderId="20" xfId="29" applyNumberFormat="1" applyFont="1" applyBorder="1" applyAlignment="1">
      <alignment horizontal="center" vertical="center" wrapText="1"/>
    </xf>
    <xf numFmtId="3" fontId="36" fillId="0" borderId="20" xfId="29" applyNumberFormat="1" applyFont="1" applyBorder="1" applyAlignment="1">
      <alignment horizontal="center" vertical="center" wrapText="1"/>
    </xf>
    <xf numFmtId="3" fontId="36" fillId="0" borderId="20" xfId="28" applyNumberFormat="1" applyFont="1" applyBorder="1" applyAlignment="1">
      <alignment horizontal="center" vertical="center" wrapText="1"/>
    </xf>
    <xf numFmtId="176" fontId="38" fillId="0" borderId="20" xfId="29" applyNumberFormat="1" applyFont="1" applyBorder="1" applyAlignment="1">
      <alignment horizontal="center" vertical="center" wrapText="1"/>
    </xf>
    <xf numFmtId="3" fontId="36" fillId="0" borderId="20" xfId="36" applyNumberFormat="1" applyFont="1" applyBorder="1" applyAlignment="1">
      <alignment horizontal="center" vertical="center" wrapText="1"/>
    </xf>
    <xf numFmtId="1" fontId="36" fillId="0" borderId="20" xfId="36" applyNumberFormat="1" applyFont="1" applyBorder="1" applyAlignment="1">
      <alignment horizontal="center" vertical="center" wrapText="1"/>
    </xf>
    <xf numFmtId="1" fontId="36" fillId="0" borderId="20" xfId="31" applyNumberFormat="1" applyFont="1" applyBorder="1" applyAlignment="1">
      <alignment horizontal="center" vertical="center" wrapText="1"/>
    </xf>
    <xf numFmtId="3" fontId="36" fillId="0" borderId="20" xfId="31" applyNumberFormat="1" applyFont="1" applyBorder="1" applyAlignment="1">
      <alignment horizontal="center" vertical="center" wrapText="1"/>
    </xf>
    <xf numFmtId="0" fontId="39" fillId="0" borderId="0" xfId="36" applyFont="1"/>
    <xf numFmtId="0" fontId="38" fillId="0" borderId="20" xfId="36" applyFont="1" applyBorder="1" applyAlignment="1">
      <alignment horizontal="center" vertical="center" wrapText="1"/>
    </xf>
    <xf numFmtId="0" fontId="37" fillId="0" borderId="20" xfId="29" applyFont="1" applyBorder="1" applyAlignment="1">
      <alignment horizontal="center" vertical="center" wrapText="1"/>
    </xf>
    <xf numFmtId="49" fontId="38" fillId="0" borderId="20" xfId="29" applyNumberFormat="1" applyFont="1" applyBorder="1" applyAlignment="1">
      <alignment vertical="center" wrapText="1"/>
    </xf>
    <xf numFmtId="49" fontId="38" fillId="0" borderId="20" xfId="29" applyNumberFormat="1" applyFont="1" applyBorder="1" applyAlignment="1">
      <alignment horizontal="center" vertical="center" wrapText="1"/>
    </xf>
    <xf numFmtId="0" fontId="38" fillId="0" borderId="20" xfId="29" applyFont="1" applyBorder="1" applyAlignment="1">
      <alignment horizontal="center" vertical="center" wrapText="1"/>
    </xf>
    <xf numFmtId="3" fontId="36" fillId="0" borderId="20" xfId="30" applyNumberFormat="1" applyFont="1" applyBorder="1" applyAlignment="1">
      <alignment horizontal="center" vertical="center" wrapText="1"/>
    </xf>
    <xf numFmtId="177" fontId="38" fillId="0" borderId="20" xfId="29" applyNumberFormat="1" applyFont="1" applyBorder="1" applyAlignment="1">
      <alignment horizontal="center" vertical="center" wrapText="1"/>
    </xf>
    <xf numFmtId="177" fontId="36" fillId="0" borderId="20" xfId="33" applyNumberFormat="1" applyFont="1" applyBorder="1" applyAlignment="1">
      <alignment horizontal="center" vertical="center" wrapText="1"/>
    </xf>
    <xf numFmtId="41" fontId="40" fillId="0" borderId="0" xfId="28" applyNumberFormat="1" applyFont="1"/>
    <xf numFmtId="0" fontId="40" fillId="0" borderId="0" xfId="28" applyFont="1"/>
    <xf numFmtId="0" fontId="41" fillId="0" borderId="20" xfId="28" applyFont="1" applyBorder="1" applyAlignment="1">
      <alignment horizontal="center" vertical="center" textRotation="90" wrapText="1"/>
    </xf>
    <xf numFmtId="41" fontId="40" fillId="0" borderId="20" xfId="28" applyNumberFormat="1" applyFont="1" applyBorder="1" applyAlignment="1">
      <alignment horizontal="center" vertical="center"/>
    </xf>
    <xf numFmtId="0" fontId="40" fillId="0" borderId="20" xfId="28" applyFont="1" applyBorder="1" applyAlignment="1">
      <alignment horizontal="center" vertical="center"/>
    </xf>
    <xf numFmtId="0" fontId="41" fillId="0" borderId="20" xfId="28" applyFont="1" applyBorder="1" applyAlignment="1">
      <alignment horizontal="center" vertical="center" wrapText="1"/>
    </xf>
    <xf numFmtId="41" fontId="40" fillId="0" borderId="20" xfId="28" applyNumberFormat="1" applyFont="1" applyBorder="1"/>
    <xf numFmtId="0" fontId="40" fillId="0" borderId="20" xfId="28" applyFont="1" applyBorder="1"/>
    <xf numFmtId="0" fontId="42" fillId="0" borderId="20" xfId="28" applyFont="1" applyBorder="1" applyAlignment="1">
      <alignment horizontal="center" vertical="center" wrapText="1"/>
    </xf>
    <xf numFmtId="0" fontId="41" fillId="0" borderId="20" xfId="28" applyFont="1" applyBorder="1" applyAlignment="1">
      <alignment horizontal="left" vertical="center" wrapText="1"/>
    </xf>
    <xf numFmtId="41" fontId="39" fillId="6" borderId="20" xfId="28" applyNumberFormat="1" applyFont="1" applyFill="1" applyBorder="1"/>
    <xf numFmtId="0" fontId="39" fillId="6" borderId="20" xfId="28" applyFont="1" applyFill="1" applyBorder="1"/>
    <xf numFmtId="41" fontId="39" fillId="7" borderId="20" xfId="28" applyNumberFormat="1" applyFont="1" applyFill="1" applyBorder="1"/>
    <xf numFmtId="0" fontId="39" fillId="7" borderId="20" xfId="28" applyFont="1" applyFill="1" applyBorder="1"/>
    <xf numFmtId="0" fontId="36" fillId="0" borderId="20" xfId="28" applyFont="1" applyBorder="1" applyAlignment="1">
      <alignment horizontal="center" vertical="center" wrapText="1"/>
    </xf>
    <xf numFmtId="0" fontId="39" fillId="0" borderId="0" xfId="28" applyFont="1"/>
    <xf numFmtId="0" fontId="36" fillId="0" borderId="20" xfId="31" applyFont="1" applyBorder="1" applyAlignment="1">
      <alignment horizontal="center" vertical="center" wrapText="1"/>
    </xf>
    <xf numFmtId="0" fontId="44" fillId="0" borderId="20" xfId="32" applyFont="1" applyBorder="1" applyAlignment="1">
      <alignment horizontal="center" vertical="center"/>
    </xf>
    <xf numFmtId="0" fontId="36" fillId="0" borderId="20" xfId="33" applyFont="1" applyBorder="1" applyAlignment="1">
      <alignment vertical="center" wrapText="1"/>
    </xf>
    <xf numFmtId="0" fontId="36" fillId="0" borderId="20" xfId="33" applyFont="1" applyBorder="1" applyAlignment="1">
      <alignment horizontal="center" vertical="center" wrapText="1"/>
    </xf>
    <xf numFmtId="0" fontId="36" fillId="0" borderId="20" xfId="33" applyFont="1" applyBorder="1" applyAlignment="1">
      <alignment horizontal="left" vertical="center" wrapText="1"/>
    </xf>
    <xf numFmtId="3" fontId="36" fillId="0" borderId="20" xfId="31" applyNumberFormat="1" applyFont="1" applyBorder="1" applyAlignment="1">
      <alignment horizontal="center" vertical="center"/>
    </xf>
    <xf numFmtId="3" fontId="36" fillId="0" borderId="20" xfId="33" applyNumberFormat="1" applyFont="1" applyBorder="1" applyAlignment="1">
      <alignment horizontal="center" vertical="center"/>
    </xf>
    <xf numFmtId="41" fontId="40" fillId="0" borderId="20" xfId="31" applyNumberFormat="1" applyFont="1" applyBorder="1"/>
    <xf numFmtId="0" fontId="40" fillId="0" borderId="20" xfId="31" applyFont="1" applyBorder="1"/>
    <xf numFmtId="49" fontId="38" fillId="0" borderId="20" xfId="34" applyNumberFormat="1" applyFont="1" applyBorder="1" applyAlignment="1">
      <alignment horizontal="left" vertical="center" wrapText="1"/>
    </xf>
    <xf numFmtId="49" fontId="38" fillId="0" borderId="20" xfId="34" applyNumberFormat="1" applyFont="1" applyBorder="1" applyAlignment="1">
      <alignment horizontal="center" vertical="center" wrapText="1"/>
    </xf>
    <xf numFmtId="3" fontId="38" fillId="0" borderId="20" xfId="34" applyNumberFormat="1" applyFont="1" applyBorder="1" applyAlignment="1">
      <alignment horizontal="center" vertical="center" wrapText="1"/>
    </xf>
    <xf numFmtId="3" fontId="40" fillId="0" borderId="20" xfId="35" applyNumberFormat="1" applyFont="1" applyBorder="1" applyAlignment="1">
      <alignment horizontal="center" vertical="center"/>
    </xf>
    <xf numFmtId="3" fontId="40" fillId="0" borderId="20" xfId="34" applyNumberFormat="1" applyFont="1" applyBorder="1" applyAlignment="1">
      <alignment horizontal="center" vertical="center"/>
    </xf>
    <xf numFmtId="3" fontId="36" fillId="0" borderId="20" xfId="34" applyNumberFormat="1" applyFont="1" applyBorder="1" applyAlignment="1">
      <alignment horizontal="center" vertical="center" wrapText="1"/>
    </xf>
    <xf numFmtId="3" fontId="36" fillId="0" borderId="20" xfId="35" applyNumberFormat="1" applyFont="1" applyBorder="1" applyAlignment="1">
      <alignment horizontal="center" vertical="center" wrapText="1"/>
    </xf>
    <xf numFmtId="3" fontId="36" fillId="2" borderId="20" xfId="35" applyNumberFormat="1" applyFont="1" applyFill="1" applyBorder="1" applyAlignment="1">
      <alignment horizontal="center" vertical="center" wrapText="1"/>
    </xf>
    <xf numFmtId="3" fontId="36" fillId="0" borderId="20" xfId="35" applyNumberFormat="1" applyFont="1" applyBorder="1" applyAlignment="1">
      <alignment vertical="center" wrapText="1"/>
    </xf>
    <xf numFmtId="0" fontId="40" fillId="7" borderId="20" xfId="35" applyFont="1" applyFill="1" applyBorder="1"/>
    <xf numFmtId="0" fontId="43" fillId="0" borderId="20" xfId="28" applyFont="1" applyBorder="1" applyAlignment="1">
      <alignment horizontal="right" vertical="center" wrapText="1"/>
    </xf>
    <xf numFmtId="3" fontId="41" fillId="0" borderId="20" xfId="28" applyNumberFormat="1" applyFont="1" applyBorder="1" applyAlignment="1">
      <alignment horizontal="center" vertical="center" wrapText="1"/>
    </xf>
    <xf numFmtId="3" fontId="43" fillId="0" borderId="20" xfId="28" applyNumberFormat="1" applyFont="1" applyBorder="1" applyAlignment="1">
      <alignment horizontal="center" vertical="center" wrapText="1"/>
    </xf>
    <xf numFmtId="41" fontId="39" fillId="0" borderId="20" xfId="28" applyNumberFormat="1" applyFont="1" applyBorder="1"/>
    <xf numFmtId="0" fontId="39" fillId="0" borderId="20" xfId="28" applyFont="1" applyBorder="1"/>
    <xf numFmtId="41" fontId="40" fillId="7" borderId="20" xfId="28" applyNumberFormat="1" applyFont="1" applyFill="1" applyBorder="1"/>
    <xf numFmtId="0" fontId="40" fillId="7" borderId="20" xfId="28" applyFont="1" applyFill="1" applyBorder="1"/>
    <xf numFmtId="0" fontId="37" fillId="0" borderId="20" xfId="32" applyFont="1" applyBorder="1" applyAlignment="1">
      <alignment horizontal="center" vertical="center" wrapText="1"/>
    </xf>
    <xf numFmtId="0" fontId="38" fillId="0" borderId="20" xfId="34" applyFont="1" applyBorder="1" applyAlignment="1">
      <alignment horizontal="center" vertical="center" wrapText="1"/>
    </xf>
    <xf numFmtId="0" fontId="40" fillId="0" borderId="20" xfId="35" applyFont="1" applyBorder="1" applyAlignment="1">
      <alignment horizontal="center" vertical="center"/>
    </xf>
    <xf numFmtId="0" fontId="40" fillId="0" borderId="20" xfId="34" applyFont="1" applyBorder="1" applyAlignment="1">
      <alignment horizontal="center" vertical="center"/>
    </xf>
    <xf numFmtId="176" fontId="38" fillId="0" borderId="20" xfId="34" applyNumberFormat="1" applyFont="1" applyBorder="1" applyAlignment="1">
      <alignment horizontal="center" vertical="center" wrapText="1"/>
    </xf>
    <xf numFmtId="176" fontId="43" fillId="0" borderId="20" xfId="34" applyNumberFormat="1" applyFont="1" applyBorder="1" applyAlignment="1">
      <alignment horizontal="center" vertical="center" wrapText="1"/>
    </xf>
    <xf numFmtId="3" fontId="41" fillId="0" borderId="20" xfId="35" applyNumberFormat="1" applyFont="1" applyBorder="1" applyAlignment="1">
      <alignment vertical="center" wrapText="1"/>
    </xf>
    <xf numFmtId="0" fontId="39" fillId="7" borderId="20" xfId="35" applyFont="1" applyFill="1" applyBorder="1"/>
    <xf numFmtId="3" fontId="36" fillId="0" borderId="20" xfId="33" applyNumberFormat="1" applyFont="1" applyBorder="1" applyAlignment="1">
      <alignment horizontal="center" vertical="center" wrapText="1"/>
    </xf>
    <xf numFmtId="3" fontId="41" fillId="0" borderId="20" xfId="31" applyNumberFormat="1" applyFont="1" applyBorder="1" applyAlignment="1">
      <alignment horizontal="center" vertical="center" wrapText="1"/>
    </xf>
    <xf numFmtId="3" fontId="43" fillId="0" borderId="20" xfId="33" applyNumberFormat="1" applyFont="1" applyBorder="1" applyAlignment="1">
      <alignment vertical="center" wrapText="1"/>
    </xf>
    <xf numFmtId="0" fontId="41" fillId="0" borderId="20" xfId="28" applyFont="1" applyBorder="1" applyAlignment="1">
      <alignment horizontal="right" vertical="center" wrapText="1"/>
    </xf>
    <xf numFmtId="49" fontId="38" fillId="0" borderId="21" xfId="29" applyNumberFormat="1" applyFont="1" applyBorder="1" applyAlignment="1">
      <alignment vertical="center" wrapText="1"/>
    </xf>
    <xf numFmtId="0" fontId="36" fillId="0" borderId="21" xfId="33" applyFont="1" applyBorder="1" applyAlignment="1">
      <alignment horizontal="center" vertical="center" wrapText="1"/>
    </xf>
    <xf numFmtId="0" fontId="36" fillId="0" borderId="21" xfId="33" applyFont="1" applyBorder="1" applyAlignment="1">
      <alignment horizontal="left" vertical="center" wrapText="1"/>
    </xf>
    <xf numFmtId="0" fontId="38" fillId="0" borderId="21" xfId="29" applyFont="1" applyBorder="1" applyAlignment="1">
      <alignment horizontal="center" vertical="center" wrapText="1"/>
    </xf>
    <xf numFmtId="0" fontId="36" fillId="0" borderId="21" xfId="29" applyFont="1" applyBorder="1" applyAlignment="1">
      <alignment horizontal="center" vertical="center" wrapText="1"/>
    </xf>
    <xf numFmtId="0" fontId="38" fillId="0" borderId="21" xfId="33" applyFont="1" applyBorder="1" applyAlignment="1">
      <alignment horizontal="center" vertical="center" wrapText="1"/>
    </xf>
    <xf numFmtId="3" fontId="38" fillId="0" borderId="21" xfId="29" applyNumberFormat="1" applyFont="1" applyBorder="1" applyAlignment="1">
      <alignment horizontal="center" vertical="center" wrapText="1"/>
    </xf>
    <xf numFmtId="3" fontId="36" fillId="0" borderId="21" xfId="29" applyNumberFormat="1" applyFont="1" applyBorder="1" applyAlignment="1">
      <alignment horizontal="center" vertical="center" wrapText="1"/>
    </xf>
    <xf numFmtId="176" fontId="38" fillId="0" borderId="21" xfId="29" applyNumberFormat="1" applyFont="1" applyBorder="1" applyAlignment="1">
      <alignment horizontal="center" vertical="center" wrapText="1"/>
    </xf>
    <xf numFmtId="3" fontId="36" fillId="0" borderId="21" xfId="36" applyNumberFormat="1" applyFont="1" applyBorder="1" applyAlignment="1">
      <alignment horizontal="center" vertical="center" wrapText="1"/>
    </xf>
    <xf numFmtId="177" fontId="38" fillId="0" borderId="21" xfId="29" applyNumberFormat="1" applyFont="1" applyBorder="1" applyAlignment="1">
      <alignment horizontal="center" vertical="center" wrapText="1"/>
    </xf>
    <xf numFmtId="177" fontId="36" fillId="0" borderId="21" xfId="33" applyNumberFormat="1" applyFont="1" applyBorder="1" applyAlignment="1">
      <alignment horizontal="center" vertical="center" wrapText="1"/>
    </xf>
    <xf numFmtId="3" fontId="36" fillId="0" borderId="21" xfId="31" applyNumberFormat="1" applyFont="1" applyBorder="1" applyAlignment="1">
      <alignment horizontal="center" vertical="center" wrapText="1"/>
    </xf>
    <xf numFmtId="0" fontId="38" fillId="2" borderId="20" xfId="34" applyFont="1" applyFill="1" applyBorder="1" applyAlignment="1">
      <alignment horizontal="center" vertical="center" wrapText="1"/>
    </xf>
    <xf numFmtId="0" fontId="36" fillId="0" borderId="20" xfId="34" applyFont="1" applyBorder="1" applyAlignment="1">
      <alignment horizontal="center" vertical="center" wrapText="1"/>
    </xf>
    <xf numFmtId="3" fontId="38" fillId="2" borderId="20" xfId="35" applyNumberFormat="1" applyFont="1" applyFill="1" applyBorder="1" applyAlignment="1">
      <alignment horizontal="center" vertical="center" wrapText="1"/>
    </xf>
    <xf numFmtId="3" fontId="36" fillId="0" borderId="20" xfId="34" applyNumberFormat="1" applyFont="1" applyBorder="1" applyAlignment="1">
      <alignment horizontal="center" vertical="center"/>
    </xf>
    <xf numFmtId="49" fontId="38" fillId="0" borderId="21" xfId="29" applyNumberFormat="1" applyFont="1" applyBorder="1" applyAlignment="1">
      <alignment horizontal="left" vertical="center" wrapText="1"/>
    </xf>
    <xf numFmtId="3" fontId="38" fillId="0" borderId="20" xfId="33" applyNumberFormat="1" applyFont="1" applyBorder="1" applyAlignment="1">
      <alignment vertical="center" wrapText="1"/>
    </xf>
    <xf numFmtId="3" fontId="45" fillId="0" borderId="20" xfId="34" applyNumberFormat="1" applyFont="1" applyBorder="1" applyAlignment="1">
      <alignment horizontal="center" vertical="center"/>
    </xf>
    <xf numFmtId="3" fontId="46" fillId="0" borderId="20" xfId="34" applyNumberFormat="1" applyFont="1" applyBorder="1" applyAlignment="1">
      <alignment vertical="center"/>
    </xf>
    <xf numFmtId="0" fontId="44" fillId="0" borderId="20" xfId="29" applyFont="1" applyBorder="1" applyAlignment="1">
      <alignment horizontal="center" vertical="center"/>
    </xf>
    <xf numFmtId="0" fontId="36" fillId="0" borderId="20" xfId="35" applyFont="1" applyBorder="1" applyAlignment="1">
      <alignment horizontal="left" vertical="center" wrapText="1"/>
    </xf>
    <xf numFmtId="0" fontId="38" fillId="0" borderId="20" xfId="28" applyFont="1" applyBorder="1" applyAlignment="1">
      <alignment horizontal="center" vertical="center" wrapText="1"/>
    </xf>
    <xf numFmtId="3" fontId="36" fillId="0" borderId="20" xfId="37" applyNumberFormat="1" applyFont="1" applyBorder="1" applyAlignment="1">
      <alignment horizontal="center" vertical="center"/>
    </xf>
    <xf numFmtId="3" fontId="36" fillId="0" borderId="20" xfId="37" applyNumberFormat="1" applyFont="1" applyBorder="1" applyAlignment="1">
      <alignment horizontal="center" vertical="center" wrapText="1"/>
    </xf>
    <xf numFmtId="0" fontId="39" fillId="8" borderId="20" xfId="35" applyFont="1" applyFill="1" applyBorder="1"/>
    <xf numFmtId="0" fontId="37" fillId="0" borderId="20" xfId="28" applyFont="1" applyBorder="1" applyAlignment="1">
      <alignment horizontal="center" vertical="center" wrapText="1"/>
    </xf>
    <xf numFmtId="41" fontId="39" fillId="8" borderId="20" xfId="35" applyNumberFormat="1" applyFont="1" applyFill="1" applyBorder="1"/>
    <xf numFmtId="3" fontId="41" fillId="0" borderId="20" xfId="28" applyNumberFormat="1" applyFont="1" applyBorder="1" applyAlignment="1">
      <alignment vertical="center" wrapText="1"/>
    </xf>
    <xf numFmtId="0" fontId="40" fillId="0" borderId="0" xfId="36" applyFont="1"/>
    <xf numFmtId="3" fontId="41" fillId="0" borderId="20" xfId="34" applyNumberFormat="1" applyFont="1" applyBorder="1" applyAlignment="1">
      <alignment horizontal="center" vertical="center" wrapText="1"/>
    </xf>
    <xf numFmtId="3" fontId="41" fillId="0" borderId="20" xfId="30" applyNumberFormat="1" applyFont="1" applyBorder="1" applyAlignment="1">
      <alignment horizontal="center" vertical="center" wrapText="1"/>
    </xf>
    <xf numFmtId="177" fontId="38" fillId="0" borderId="20" xfId="34" applyNumberFormat="1" applyFont="1" applyBorder="1" applyAlignment="1">
      <alignment horizontal="center" vertical="center" wrapText="1"/>
    </xf>
    <xf numFmtId="0" fontId="36" fillId="0" borderId="20" xfId="30" applyFont="1" applyBorder="1" applyAlignment="1">
      <alignment horizontal="left" vertical="center" wrapText="1"/>
    </xf>
    <xf numFmtId="1" fontId="36" fillId="0" borderId="20" xfId="30" applyNumberFormat="1" applyFont="1" applyBorder="1" applyAlignment="1">
      <alignment horizontal="center" vertical="center" wrapText="1"/>
    </xf>
    <xf numFmtId="0" fontId="39" fillId="0" borderId="20" xfId="35" applyFont="1" applyBorder="1"/>
    <xf numFmtId="1" fontId="38" fillId="0" borderId="20" xfId="34" applyNumberFormat="1" applyFont="1" applyBorder="1" applyAlignment="1">
      <alignment horizontal="center" vertical="center" wrapText="1"/>
    </xf>
    <xf numFmtId="0" fontId="40" fillId="9" borderId="20" xfId="35" applyFont="1" applyFill="1" applyBorder="1"/>
    <xf numFmtId="0" fontId="39" fillId="9" borderId="20" xfId="37" applyFont="1" applyFill="1" applyBorder="1"/>
    <xf numFmtId="0" fontId="45" fillId="0" borderId="20" xfId="34" applyFont="1" applyBorder="1" applyAlignment="1">
      <alignment horizontal="center" vertical="center"/>
    </xf>
    <xf numFmtId="0" fontId="47" fillId="0" borderId="20" xfId="33" applyFont="1" applyBorder="1" applyAlignment="1">
      <alignment horizontal="left" vertical="center" wrapText="1"/>
    </xf>
    <xf numFmtId="0" fontId="40" fillId="0" borderId="20" xfId="33" applyFont="1" applyBorder="1" applyAlignment="1">
      <alignment horizontal="center" vertical="center" wrapText="1"/>
    </xf>
    <xf numFmtId="0" fontId="40" fillId="3" borderId="20" xfId="35" applyFont="1" applyFill="1" applyBorder="1"/>
    <xf numFmtId="0" fontId="36" fillId="0" borderId="20" xfId="33" applyFont="1" applyBorder="1" applyAlignment="1">
      <alignment horizontal="center" vertical="center"/>
    </xf>
    <xf numFmtId="0" fontId="39" fillId="3" borderId="20" xfId="35" applyFont="1" applyFill="1" applyBorder="1"/>
    <xf numFmtId="0" fontId="40" fillId="0" borderId="20" xfId="33" applyFont="1" applyBorder="1" applyAlignment="1">
      <alignment horizontal="left" vertical="center" wrapText="1"/>
    </xf>
    <xf numFmtId="3" fontId="41" fillId="0" borderId="20" xfId="37" applyNumberFormat="1" applyFont="1" applyBorder="1" applyAlignment="1">
      <alignment horizontal="center" vertical="center" wrapText="1"/>
    </xf>
    <xf numFmtId="3" fontId="41" fillId="10" borderId="26" xfId="28" applyNumberFormat="1" applyFont="1" applyFill="1" applyBorder="1" applyAlignment="1">
      <alignment vertical="center" wrapText="1"/>
    </xf>
    <xf numFmtId="0" fontId="41" fillId="10" borderId="24" xfId="28" applyFont="1" applyFill="1" applyBorder="1" applyAlignment="1">
      <alignment vertical="center" wrapText="1"/>
    </xf>
    <xf numFmtId="41" fontId="39" fillId="10" borderId="20" xfId="28" applyNumberFormat="1" applyFont="1" applyFill="1" applyBorder="1"/>
    <xf numFmtId="0" fontId="39" fillId="10" borderId="20" xfId="28" applyFont="1" applyFill="1" applyBorder="1"/>
    <xf numFmtId="0" fontId="44" fillId="0" borderId="0" xfId="28" applyFont="1" applyAlignment="1">
      <alignment horizontal="center" vertical="center"/>
    </xf>
    <xf numFmtId="0" fontId="36" fillId="0" borderId="0" xfId="28" applyFont="1" applyAlignment="1">
      <alignment horizontal="center" vertical="center"/>
    </xf>
    <xf numFmtId="0" fontId="40" fillId="0" borderId="0" xfId="28" applyFont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wrapText="1"/>
    </xf>
    <xf numFmtId="41" fontId="40" fillId="0" borderId="0" xfId="28" applyNumberFormat="1" applyFont="1" applyAlignment="1">
      <alignment horizontal="center" vertical="center"/>
    </xf>
    <xf numFmtId="3" fontId="40" fillId="0" borderId="0" xfId="28" applyNumberFormat="1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0" fillId="0" borderId="0" xfId="28" applyFont="1" applyAlignment="1">
      <alignment vertical="top"/>
    </xf>
    <xf numFmtId="0" fontId="40" fillId="0" borderId="0" xfId="28" applyFont="1" applyAlignment="1">
      <alignment horizontal="left" vertical="center"/>
    </xf>
    <xf numFmtId="0" fontId="36" fillId="0" borderId="20" xfId="28" applyFont="1" applyBorder="1" applyAlignment="1">
      <alignment horizontal="center" vertical="center"/>
    </xf>
    <xf numFmtId="41" fontId="49" fillId="0" borderId="0" xfId="39" applyNumberFormat="1" applyFont="1"/>
    <xf numFmtId="0" fontId="49" fillId="0" borderId="0" xfId="39" applyFont="1"/>
    <xf numFmtId="0" fontId="50" fillId="0" borderId="20" xfId="39" applyFont="1" applyBorder="1" applyAlignment="1">
      <alignment horizontal="center" vertical="center" textRotation="90" wrapText="1"/>
    </xf>
    <xf numFmtId="41" fontId="49" fillId="0" borderId="20" xfId="39" applyNumberFormat="1" applyFont="1" applyBorder="1" applyAlignment="1">
      <alignment horizontal="center" vertical="center"/>
    </xf>
    <xf numFmtId="0" fontId="49" fillId="0" borderId="20" xfId="39" applyFont="1" applyBorder="1" applyAlignment="1">
      <alignment horizontal="center" vertical="center"/>
    </xf>
    <xf numFmtId="0" fontId="50" fillId="0" borderId="20" xfId="39" applyFont="1" applyBorder="1" applyAlignment="1">
      <alignment horizontal="center" vertical="center" wrapText="1"/>
    </xf>
    <xf numFmtId="41" fontId="49" fillId="0" borderId="20" xfId="39" applyNumberFormat="1" applyFont="1" applyBorder="1"/>
    <xf numFmtId="0" fontId="49" fillId="0" borderId="20" xfId="39" applyFont="1" applyBorder="1"/>
    <xf numFmtId="0" fontId="51" fillId="0" borderId="20" xfId="39" applyFont="1" applyBorder="1" applyAlignment="1">
      <alignment horizontal="center" vertical="center" wrapText="1"/>
    </xf>
    <xf numFmtId="41" fontId="52" fillId="0" borderId="20" xfId="39" applyNumberFormat="1" applyFont="1" applyBorder="1"/>
    <xf numFmtId="0" fontId="52" fillId="0" borderId="20" xfId="39" applyFont="1" applyBorder="1"/>
    <xf numFmtId="0" fontId="53" fillId="0" borderId="20" xfId="39" applyFont="1" applyBorder="1" applyAlignment="1">
      <alignment horizontal="center" vertical="center" wrapText="1"/>
    </xf>
    <xf numFmtId="0" fontId="54" fillId="0" borderId="20" xfId="39" applyFont="1" applyBorder="1" applyAlignment="1">
      <alignment horizontal="center" vertical="center" wrapText="1"/>
    </xf>
    <xf numFmtId="3" fontId="53" fillId="0" borderId="20" xfId="39" applyNumberFormat="1" applyFont="1" applyBorder="1" applyAlignment="1">
      <alignment horizontal="center" vertical="center" wrapText="1"/>
    </xf>
    <xf numFmtId="41" fontId="48" fillId="0" borderId="0" xfId="39" applyNumberFormat="1" applyFont="1"/>
    <xf numFmtId="0" fontId="48" fillId="0" borderId="0" xfId="39" applyFont="1"/>
    <xf numFmtId="3" fontId="53" fillId="0" borderId="20" xfId="42" applyNumberFormat="1" applyFont="1" applyBorder="1" applyAlignment="1">
      <alignment horizontal="center" vertical="center" wrapText="1"/>
    </xf>
    <xf numFmtId="3" fontId="53" fillId="0" borderId="20" xfId="41" applyNumberFormat="1" applyFont="1" applyBorder="1" applyAlignment="1">
      <alignment horizontal="center" vertical="center" wrapText="1"/>
    </xf>
    <xf numFmtId="0" fontId="49" fillId="3" borderId="20" xfId="43" applyFont="1" applyFill="1" applyBorder="1"/>
    <xf numFmtId="0" fontId="56" fillId="0" borderId="20" xfId="39" applyFont="1" applyBorder="1" applyAlignment="1">
      <alignment horizontal="right" vertical="center" wrapText="1"/>
    </xf>
    <xf numFmtId="3" fontId="50" fillId="0" borderId="20" xfId="39" applyNumberFormat="1" applyFont="1" applyBorder="1" applyAlignment="1">
      <alignment horizontal="center" vertical="center" wrapText="1"/>
    </xf>
    <xf numFmtId="3" fontId="56" fillId="0" borderId="20" xfId="39" applyNumberFormat="1" applyFont="1" applyBorder="1" applyAlignment="1">
      <alignment horizontal="center" vertical="center" wrapText="1"/>
    </xf>
    <xf numFmtId="41" fontId="48" fillId="0" borderId="20" xfId="39" applyNumberFormat="1" applyFont="1" applyBorder="1"/>
    <xf numFmtId="0" fontId="48" fillId="0" borderId="20" xfId="39" applyFont="1" applyBorder="1"/>
    <xf numFmtId="0" fontId="52" fillId="0" borderId="20" xfId="40" applyFont="1" applyBorder="1" applyAlignment="1">
      <alignment horizontal="center" vertical="center"/>
    </xf>
    <xf numFmtId="1" fontId="53" fillId="0" borderId="20" xfId="41" applyNumberFormat="1" applyFont="1" applyBorder="1" applyAlignment="1">
      <alignment horizontal="center" vertical="center" wrapText="1"/>
    </xf>
    <xf numFmtId="3" fontId="53" fillId="2" borderId="20" xfId="41" applyNumberFormat="1" applyFont="1" applyFill="1" applyBorder="1" applyAlignment="1">
      <alignment horizontal="center" vertical="center" wrapText="1"/>
    </xf>
    <xf numFmtId="3" fontId="50" fillId="0" borderId="20" xfId="41" applyNumberFormat="1" applyFont="1" applyBorder="1" applyAlignment="1">
      <alignment horizontal="center" vertical="center" wrapText="1"/>
    </xf>
    <xf numFmtId="3" fontId="50" fillId="10" borderId="20" xfId="39" applyNumberFormat="1" applyFont="1" applyFill="1" applyBorder="1" applyAlignment="1">
      <alignment horizontal="center" vertical="center" wrapText="1"/>
    </xf>
    <xf numFmtId="0" fontId="48" fillId="10" borderId="20" xfId="39" applyFont="1" applyFill="1" applyBorder="1"/>
    <xf numFmtId="41" fontId="48" fillId="6" borderId="20" xfId="39" applyNumberFormat="1" applyFont="1" applyFill="1" applyBorder="1"/>
    <xf numFmtId="0" fontId="48" fillId="6" borderId="20" xfId="39" applyFont="1" applyFill="1" applyBorder="1"/>
    <xf numFmtId="41" fontId="48" fillId="7" borderId="20" xfId="39" applyNumberFormat="1" applyFont="1" applyFill="1" applyBorder="1"/>
    <xf numFmtId="0" fontId="48" fillId="7" borderId="20" xfId="39" applyFont="1" applyFill="1" applyBorder="1"/>
    <xf numFmtId="0" fontId="54" fillId="0" borderId="20" xfId="40" applyFont="1" applyBorder="1" applyAlignment="1">
      <alignment horizontal="center" vertical="center" wrapText="1"/>
    </xf>
    <xf numFmtId="0" fontId="53" fillId="0" borderId="20" xfId="40" applyFont="1" applyBorder="1" applyAlignment="1">
      <alignment horizontal="center" vertical="center" wrapText="1"/>
    </xf>
    <xf numFmtId="0" fontId="53" fillId="0" borderId="20" xfId="44" applyFont="1" applyBorder="1" applyAlignment="1">
      <alignment horizontal="center" vertical="center" wrapText="1"/>
    </xf>
    <xf numFmtId="0" fontId="52" fillId="0" borderId="20" xfId="46" applyFont="1" applyBorder="1" applyAlignment="1">
      <alignment horizontal="center" vertical="center"/>
    </xf>
    <xf numFmtId="0" fontId="53" fillId="0" borderId="20" xfId="33" applyFont="1" applyBorder="1" applyAlignment="1">
      <alignment vertical="center" wrapText="1"/>
    </xf>
    <xf numFmtId="0" fontId="53" fillId="0" borderId="20" xfId="33" applyFont="1" applyBorder="1" applyAlignment="1">
      <alignment horizontal="center" vertical="center" wrapText="1"/>
    </xf>
    <xf numFmtId="3" fontId="53" fillId="0" borderId="20" xfId="44" applyNumberFormat="1" applyFont="1" applyBorder="1" applyAlignment="1">
      <alignment horizontal="center" vertical="center"/>
    </xf>
    <xf numFmtId="3" fontId="53" fillId="0" borderId="20" xfId="44" applyNumberFormat="1" applyFont="1" applyBorder="1" applyAlignment="1">
      <alignment horizontal="center" vertical="center" wrapText="1"/>
    </xf>
    <xf numFmtId="3" fontId="53" fillId="0" borderId="20" xfId="33" applyNumberFormat="1" applyFont="1" applyBorder="1" applyAlignment="1">
      <alignment horizontal="center" vertical="center"/>
    </xf>
    <xf numFmtId="41" fontId="49" fillId="0" borderId="20" xfId="44" applyNumberFormat="1" applyFont="1" applyBorder="1"/>
    <xf numFmtId="0" fontId="49" fillId="0" borderId="20" xfId="44" applyFont="1" applyBorder="1"/>
    <xf numFmtId="49" fontId="55" fillId="0" borderId="20" xfId="42" applyNumberFormat="1" applyFont="1" applyBorder="1" applyAlignment="1">
      <alignment horizontal="left" vertical="center" wrapText="1"/>
    </xf>
    <xf numFmtId="49" fontId="55" fillId="0" borderId="20" xfId="42" applyNumberFormat="1" applyFont="1" applyBorder="1" applyAlignment="1">
      <alignment horizontal="center" vertical="center" wrapText="1"/>
    </xf>
    <xf numFmtId="3" fontId="55" fillId="0" borderId="20" xfId="42" applyNumberFormat="1" applyFont="1" applyBorder="1" applyAlignment="1">
      <alignment horizontal="center" vertical="center" wrapText="1"/>
    </xf>
    <xf numFmtId="3" fontId="49" fillId="0" borderId="20" xfId="42" applyNumberFormat="1" applyFont="1" applyBorder="1" applyAlignment="1">
      <alignment horizontal="center" vertical="center"/>
    </xf>
    <xf numFmtId="3" fontId="53" fillId="0" borderId="20" xfId="43" applyNumberFormat="1" applyFont="1" applyBorder="1" applyAlignment="1">
      <alignment horizontal="center" vertical="center" wrapText="1"/>
    </xf>
    <xf numFmtId="3" fontId="53" fillId="2" borderId="20" xfId="43" applyNumberFormat="1" applyFont="1" applyFill="1" applyBorder="1" applyAlignment="1">
      <alignment horizontal="center" vertical="center" wrapText="1"/>
    </xf>
    <xf numFmtId="3" fontId="53" fillId="0" borderId="20" xfId="43" applyNumberFormat="1" applyFont="1" applyBorder="1" applyAlignment="1">
      <alignment vertical="center" wrapText="1"/>
    </xf>
    <xf numFmtId="0" fontId="49" fillId="7" borderId="20" xfId="43" applyFont="1" applyFill="1" applyBorder="1"/>
    <xf numFmtId="41" fontId="49" fillId="7" borderId="20" xfId="39" applyNumberFormat="1" applyFont="1" applyFill="1" applyBorder="1"/>
    <xf numFmtId="0" fontId="49" fillId="7" borderId="20" xfId="39" applyFont="1" applyFill="1" applyBorder="1"/>
    <xf numFmtId="0" fontId="54" fillId="0" borderId="20" xfId="46" applyFont="1" applyBorder="1" applyAlignment="1">
      <alignment horizontal="center" vertical="center" wrapText="1"/>
    </xf>
    <xf numFmtId="0" fontId="55" fillId="0" borderId="20" xfId="42" applyFont="1" applyBorder="1" applyAlignment="1">
      <alignment horizontal="center" vertical="center" wrapText="1"/>
    </xf>
    <xf numFmtId="0" fontId="49" fillId="0" borderId="20" xfId="43" applyFont="1" applyBorder="1" applyAlignment="1">
      <alignment horizontal="center" vertical="center"/>
    </xf>
    <xf numFmtId="0" fontId="49" fillId="0" borderId="20" xfId="42" applyFont="1" applyBorder="1" applyAlignment="1">
      <alignment horizontal="center" vertical="center"/>
    </xf>
    <xf numFmtId="176" fontId="55" fillId="0" borderId="20" xfId="42" applyNumberFormat="1" applyFont="1" applyBorder="1" applyAlignment="1">
      <alignment horizontal="center" vertical="center" wrapText="1"/>
    </xf>
    <xf numFmtId="176" fontId="56" fillId="0" borderId="20" xfId="42" applyNumberFormat="1" applyFont="1" applyBorder="1" applyAlignment="1">
      <alignment horizontal="center" vertical="center" wrapText="1"/>
    </xf>
    <xf numFmtId="3" fontId="50" fillId="0" borderId="20" xfId="43" applyNumberFormat="1" applyFont="1" applyBorder="1" applyAlignment="1">
      <alignment vertical="center" wrapText="1"/>
    </xf>
    <xf numFmtId="0" fontId="48" fillId="7" borderId="20" xfId="43" applyFont="1" applyFill="1" applyBorder="1"/>
    <xf numFmtId="3" fontId="53" fillId="0" borderId="20" xfId="33" applyNumberFormat="1" applyFont="1" applyBorder="1" applyAlignment="1">
      <alignment horizontal="center" vertical="center" wrapText="1"/>
    </xf>
    <xf numFmtId="3" fontId="55" fillId="2" borderId="20" xfId="43" applyNumberFormat="1" applyFont="1" applyFill="1" applyBorder="1" applyAlignment="1">
      <alignment horizontal="center" vertical="center" wrapText="1"/>
    </xf>
    <xf numFmtId="3" fontId="56" fillId="0" borderId="20" xfId="33" applyNumberFormat="1" applyFont="1" applyBorder="1" applyAlignment="1">
      <alignment vertical="center" wrapText="1"/>
    </xf>
    <xf numFmtId="0" fontId="50" fillId="0" borderId="20" xfId="39" applyFont="1" applyBorder="1" applyAlignment="1">
      <alignment horizontal="right" vertical="center" wrapText="1"/>
    </xf>
    <xf numFmtId="0" fontId="53" fillId="0" borderId="20" xfId="47" applyFont="1" applyBorder="1" applyAlignment="1">
      <alignment horizontal="center" vertical="center" wrapText="1"/>
    </xf>
    <xf numFmtId="0" fontId="54" fillId="0" borderId="20" xfId="47" applyFont="1" applyBorder="1" applyAlignment="1">
      <alignment horizontal="center" vertical="center" wrapText="1"/>
    </xf>
    <xf numFmtId="0" fontId="53" fillId="0" borderId="20" xfId="47" applyFont="1" applyBorder="1" applyAlignment="1">
      <alignment vertical="center" wrapText="1"/>
    </xf>
    <xf numFmtId="49" fontId="55" fillId="0" borderId="20" xfId="33" applyNumberFormat="1" applyFont="1" applyBorder="1" applyAlignment="1">
      <alignment horizontal="center" vertical="center" wrapText="1"/>
    </xf>
    <xf numFmtId="49" fontId="55" fillId="0" borderId="20" xfId="40" applyNumberFormat="1" applyFont="1" applyBorder="1" applyAlignment="1">
      <alignment horizontal="center" vertical="center" wrapText="1"/>
    </xf>
    <xf numFmtId="0" fontId="55" fillId="0" borderId="20" xfId="33" applyFont="1" applyBorder="1" applyAlignment="1">
      <alignment horizontal="center" vertical="center" wrapText="1"/>
    </xf>
    <xf numFmtId="3" fontId="55" fillId="0" borderId="20" xfId="40" applyNumberFormat="1" applyFont="1" applyBorder="1" applyAlignment="1">
      <alignment horizontal="center" vertical="center" wrapText="1"/>
    </xf>
    <xf numFmtId="3" fontId="53" fillId="0" borderId="20" xfId="40" applyNumberFormat="1" applyFont="1" applyBorder="1" applyAlignment="1">
      <alignment horizontal="center" vertical="center" wrapText="1"/>
    </xf>
    <xf numFmtId="176" fontId="55" fillId="0" borderId="20" xfId="40" applyNumberFormat="1" applyFont="1" applyBorder="1" applyAlignment="1">
      <alignment horizontal="center" vertical="center" wrapText="1"/>
    </xf>
    <xf numFmtId="3" fontId="53" fillId="0" borderId="20" xfId="47" applyNumberFormat="1" applyFont="1" applyBorder="1" applyAlignment="1">
      <alignment horizontal="center" vertical="center" wrapText="1"/>
    </xf>
    <xf numFmtId="1" fontId="53" fillId="0" borderId="20" xfId="47" applyNumberFormat="1" applyFont="1" applyBorder="1" applyAlignment="1">
      <alignment horizontal="center" vertical="center" wrapText="1"/>
    </xf>
    <xf numFmtId="1" fontId="53" fillId="0" borderId="20" xfId="44" applyNumberFormat="1" applyFont="1" applyBorder="1" applyAlignment="1">
      <alignment horizontal="center" vertical="center" wrapText="1"/>
    </xf>
    <xf numFmtId="0" fontId="48" fillId="0" borderId="0" xfId="47" applyFont="1"/>
    <xf numFmtId="0" fontId="55" fillId="0" borderId="20" xfId="47" applyFont="1" applyBorder="1" applyAlignment="1">
      <alignment horizontal="center" vertical="center" wrapText="1"/>
    </xf>
    <xf numFmtId="49" fontId="55" fillId="0" borderId="20" xfId="40" applyNumberFormat="1" applyFont="1" applyBorder="1" applyAlignment="1">
      <alignment vertical="center" wrapText="1"/>
    </xf>
    <xf numFmtId="0" fontId="55" fillId="0" borderId="20" xfId="40" applyFont="1" applyBorder="1" applyAlignment="1">
      <alignment horizontal="center" vertical="center" wrapText="1"/>
    </xf>
    <xf numFmtId="177" fontId="55" fillId="0" borderId="20" xfId="40" applyNumberFormat="1" applyFont="1" applyBorder="1" applyAlignment="1">
      <alignment horizontal="center" vertical="center" wrapText="1"/>
    </xf>
    <xf numFmtId="177" fontId="53" fillId="0" borderId="20" xfId="33" applyNumberFormat="1" applyFont="1" applyBorder="1" applyAlignment="1">
      <alignment horizontal="center" vertical="center" wrapText="1"/>
    </xf>
    <xf numFmtId="49" fontId="55" fillId="0" borderId="21" xfId="40" applyNumberFormat="1" applyFont="1" applyBorder="1" applyAlignment="1">
      <alignment vertical="center" wrapText="1"/>
    </xf>
    <xf numFmtId="0" fontId="53" fillId="0" borderId="21" xfId="33" applyFont="1" applyBorder="1" applyAlignment="1">
      <alignment horizontal="center" vertical="center" wrapText="1"/>
    </xf>
    <xf numFmtId="0" fontId="55" fillId="0" borderId="21" xfId="40" applyFont="1" applyBorder="1" applyAlignment="1">
      <alignment horizontal="center" vertical="center" wrapText="1"/>
    </xf>
    <xf numFmtId="0" fontId="55" fillId="0" borderId="21" xfId="33" applyFont="1" applyBorder="1" applyAlignment="1">
      <alignment horizontal="center" vertical="center" wrapText="1"/>
    </xf>
    <xf numFmtId="3" fontId="55" fillId="0" borderId="21" xfId="40" applyNumberFormat="1" applyFont="1" applyBorder="1" applyAlignment="1">
      <alignment horizontal="center" vertical="center" wrapText="1"/>
    </xf>
    <xf numFmtId="3" fontId="53" fillId="0" borderId="21" xfId="40" applyNumberFormat="1" applyFont="1" applyBorder="1" applyAlignment="1">
      <alignment horizontal="center" vertical="center" wrapText="1"/>
    </xf>
    <xf numFmtId="176" fontId="55" fillId="0" borderId="21" xfId="40" applyNumberFormat="1" applyFont="1" applyBorder="1" applyAlignment="1">
      <alignment horizontal="center" vertical="center" wrapText="1"/>
    </xf>
    <xf numFmtId="3" fontId="53" fillId="0" borderId="21" xfId="47" applyNumberFormat="1" applyFont="1" applyBorder="1" applyAlignment="1">
      <alignment horizontal="center" vertical="center" wrapText="1"/>
    </xf>
    <xf numFmtId="177" fontId="55" fillId="0" borderId="21" xfId="40" applyNumberFormat="1" applyFont="1" applyBorder="1" applyAlignment="1">
      <alignment horizontal="center" vertical="center" wrapText="1"/>
    </xf>
    <xf numFmtId="177" fontId="53" fillId="0" borderId="21" xfId="33" applyNumberFormat="1" applyFont="1" applyBorder="1" applyAlignment="1">
      <alignment horizontal="center" vertical="center" wrapText="1"/>
    </xf>
    <xf numFmtId="3" fontId="53" fillId="0" borderId="21" xfId="44" applyNumberFormat="1" applyFont="1" applyBorder="1" applyAlignment="1">
      <alignment horizontal="center" vertical="center" wrapText="1"/>
    </xf>
    <xf numFmtId="0" fontId="55" fillId="2" borderId="20" xfId="42" applyFont="1" applyFill="1" applyBorder="1" applyAlignment="1">
      <alignment horizontal="center" vertical="center" wrapText="1"/>
    </xf>
    <xf numFmtId="0" fontId="53" fillId="0" borderId="20" xfId="42" applyFont="1" applyBorder="1" applyAlignment="1">
      <alignment horizontal="center" vertical="center" wrapText="1"/>
    </xf>
    <xf numFmtId="3" fontId="56" fillId="2" borderId="20" xfId="43" applyNumberFormat="1" applyFont="1" applyFill="1" applyBorder="1" applyAlignment="1">
      <alignment horizontal="center" vertical="center" wrapText="1"/>
    </xf>
    <xf numFmtId="3" fontId="53" fillId="0" borderId="20" xfId="42" applyNumberFormat="1" applyFont="1" applyBorder="1" applyAlignment="1">
      <alignment horizontal="center" vertical="center"/>
    </xf>
    <xf numFmtId="49" fontId="55" fillId="0" borderId="21" xfId="40" applyNumberFormat="1" applyFont="1" applyBorder="1" applyAlignment="1">
      <alignment horizontal="center" vertical="center" wrapText="1"/>
    </xf>
    <xf numFmtId="3" fontId="55" fillId="0" borderId="20" xfId="33" applyNumberFormat="1" applyFont="1" applyBorder="1" applyAlignment="1">
      <alignment vertical="center" wrapText="1"/>
    </xf>
    <xf numFmtId="3" fontId="57" fillId="0" borderId="20" xfId="42" applyNumberFormat="1" applyFont="1" applyBorder="1" applyAlignment="1">
      <alignment horizontal="center" vertical="center"/>
    </xf>
    <xf numFmtId="3" fontId="58" fillId="0" borderId="20" xfId="42" applyNumberFormat="1" applyFont="1" applyBorder="1" applyAlignment="1">
      <alignment vertical="center"/>
    </xf>
    <xf numFmtId="3" fontId="48" fillId="7" borderId="20" xfId="43" applyNumberFormat="1" applyFont="1" applyFill="1" applyBorder="1"/>
    <xf numFmtId="3" fontId="50" fillId="0" borderId="20" xfId="43" applyNumberFormat="1" applyFont="1" applyBorder="1" applyAlignment="1">
      <alignment horizontal="center" vertical="center" wrapText="1"/>
    </xf>
    <xf numFmtId="0" fontId="53" fillId="0" borderId="20" xfId="43" applyFont="1" applyBorder="1" applyAlignment="1">
      <alignment horizontal="left" vertical="center" wrapText="1"/>
    </xf>
    <xf numFmtId="0" fontId="55" fillId="0" borderId="20" xfId="39" applyFont="1" applyBorder="1" applyAlignment="1">
      <alignment horizontal="center" vertical="center" wrapText="1"/>
    </xf>
    <xf numFmtId="0" fontId="53" fillId="0" borderId="20" xfId="33" applyFont="1" applyBorder="1" applyAlignment="1">
      <alignment horizontal="left" vertical="center" wrapText="1"/>
    </xf>
    <xf numFmtId="3" fontId="53" fillId="0" borderId="20" xfId="45" applyNumberFormat="1" applyFont="1" applyBorder="1" applyAlignment="1">
      <alignment horizontal="center" vertical="center"/>
    </xf>
    <xf numFmtId="3" fontId="53" fillId="0" borderId="20" xfId="45" applyNumberFormat="1" applyFont="1" applyBorder="1" applyAlignment="1">
      <alignment horizontal="center" vertical="center" wrapText="1"/>
    </xf>
    <xf numFmtId="0" fontId="48" fillId="8" borderId="20" xfId="43" applyFont="1" applyFill="1" applyBorder="1"/>
    <xf numFmtId="3" fontId="50" fillId="0" borderId="20" xfId="39" applyNumberFormat="1" applyFont="1" applyBorder="1" applyAlignment="1">
      <alignment vertical="center" wrapText="1"/>
    </xf>
    <xf numFmtId="0" fontId="49" fillId="0" borderId="0" xfId="47" applyFont="1"/>
    <xf numFmtId="0" fontId="53" fillId="0" borderId="21" xfId="40" applyFont="1" applyBorder="1" applyAlignment="1">
      <alignment horizontal="center" vertical="center" wrapText="1"/>
    </xf>
    <xf numFmtId="177" fontId="55" fillId="0" borderId="20" xfId="42" applyNumberFormat="1" applyFont="1" applyBorder="1" applyAlignment="1">
      <alignment horizontal="center" vertical="center" wrapText="1"/>
    </xf>
    <xf numFmtId="3" fontId="50" fillId="0" borderId="20" xfId="45" applyNumberFormat="1" applyFont="1" applyBorder="1" applyAlignment="1">
      <alignment horizontal="center" vertical="center" wrapText="1"/>
    </xf>
    <xf numFmtId="0" fontId="53" fillId="0" borderId="20" xfId="41" applyFont="1" applyBorder="1" applyAlignment="1">
      <alignment horizontal="left" vertical="center" wrapText="1"/>
    </xf>
    <xf numFmtId="1" fontId="55" fillId="0" borderId="20" xfId="42" applyNumberFormat="1" applyFont="1" applyBorder="1" applyAlignment="1">
      <alignment horizontal="center" vertical="center" wrapText="1"/>
    </xf>
    <xf numFmtId="0" fontId="48" fillId="9" borderId="20" xfId="43" applyFont="1" applyFill="1" applyBorder="1"/>
    <xf numFmtId="0" fontId="49" fillId="9" borderId="20" xfId="43" applyFont="1" applyFill="1" applyBorder="1"/>
    <xf numFmtId="0" fontId="48" fillId="9" borderId="20" xfId="45" applyFont="1" applyFill="1" applyBorder="1"/>
    <xf numFmtId="0" fontId="57" fillId="0" borderId="20" xfId="42" applyFont="1" applyBorder="1" applyAlignment="1">
      <alignment horizontal="center" vertical="center"/>
    </xf>
    <xf numFmtId="0" fontId="59" fillId="0" borderId="20" xfId="33" applyFont="1" applyBorder="1" applyAlignment="1">
      <alignment horizontal="left" vertical="center" wrapText="1"/>
    </xf>
    <xf numFmtId="0" fontId="49" fillId="0" borderId="20" xfId="33" applyFont="1" applyBorder="1" applyAlignment="1">
      <alignment horizontal="center" vertical="center" wrapText="1"/>
    </xf>
    <xf numFmtId="0" fontId="48" fillId="3" borderId="20" xfId="43" applyFont="1" applyFill="1" applyBorder="1"/>
    <xf numFmtId="0" fontId="49" fillId="0" borderId="20" xfId="33" applyFont="1" applyBorder="1" applyAlignment="1">
      <alignment horizontal="left" vertical="center" wrapText="1"/>
    </xf>
    <xf numFmtId="3" fontId="48" fillId="0" borderId="0" xfId="39" applyNumberFormat="1" applyFont="1"/>
    <xf numFmtId="0" fontId="52" fillId="0" borderId="0" xfId="39" applyFont="1" applyAlignment="1">
      <alignment horizontal="center"/>
    </xf>
    <xf numFmtId="0" fontId="48" fillId="0" borderId="0" xfId="39" applyFont="1" applyAlignment="1">
      <alignment vertical="top"/>
    </xf>
    <xf numFmtId="0" fontId="48" fillId="0" borderId="0" xfId="39" applyFont="1" applyAlignment="1">
      <alignment horizontal="center" vertical="center"/>
    </xf>
    <xf numFmtId="3" fontId="48" fillId="0" borderId="0" xfId="39" applyNumberFormat="1" applyFont="1" applyAlignment="1">
      <alignment horizontal="center" vertical="center"/>
    </xf>
    <xf numFmtId="0" fontId="49" fillId="0" borderId="0" xfId="39" applyFont="1" applyAlignment="1">
      <alignment horizontal="center" vertical="center"/>
    </xf>
    <xf numFmtId="0" fontId="53" fillId="0" borderId="0" xfId="39" applyFont="1" applyAlignment="1">
      <alignment horizontal="center" vertical="center"/>
    </xf>
    <xf numFmtId="3" fontId="49" fillId="0" borderId="0" xfId="39" applyNumberFormat="1" applyFont="1" applyAlignment="1">
      <alignment horizontal="center" vertical="center"/>
    </xf>
    <xf numFmtId="0" fontId="49" fillId="0" borderId="0" xfId="39" applyFont="1" applyAlignment="1">
      <alignment vertical="top"/>
    </xf>
    <xf numFmtId="0" fontId="49" fillId="0" borderId="0" xfId="39" applyFont="1" applyAlignment="1">
      <alignment horizontal="center"/>
    </xf>
    <xf numFmtId="0" fontId="56" fillId="0" borderId="0" xfId="0" applyFont="1" applyAlignment="1">
      <alignment wrapText="1"/>
    </xf>
    <xf numFmtId="0" fontId="50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wrapText="1"/>
    </xf>
    <xf numFmtId="0" fontId="50" fillId="0" borderId="0" xfId="0" applyFont="1"/>
    <xf numFmtId="0" fontId="50" fillId="0" borderId="0" xfId="0" applyFont="1" applyAlignment="1">
      <alignment horizontal="left" vertical="center"/>
    </xf>
    <xf numFmtId="41" fontId="49" fillId="0" borderId="0" xfId="39" applyNumberFormat="1" applyFont="1" applyAlignment="1">
      <alignment horizontal="center" vertical="center"/>
    </xf>
    <xf numFmtId="0" fontId="53" fillId="0" borderId="22" xfId="39" applyFont="1" applyBorder="1" applyAlignment="1">
      <alignment horizontal="center" vertical="center"/>
    </xf>
    <xf numFmtId="0" fontId="53" fillId="0" borderId="20" xfId="39" applyFont="1" applyBorder="1" applyAlignment="1">
      <alignment horizontal="center" vertical="center"/>
    </xf>
    <xf numFmtId="0" fontId="48" fillId="3" borderId="26" xfId="43" applyFont="1" applyFill="1" applyBorder="1"/>
    <xf numFmtId="41" fontId="48" fillId="0" borderId="26" xfId="39" applyNumberFormat="1" applyFont="1" applyBorder="1"/>
    <xf numFmtId="41" fontId="48" fillId="10" borderId="26" xfId="39" applyNumberFormat="1" applyFont="1" applyFill="1" applyBorder="1"/>
    <xf numFmtId="0" fontId="50" fillId="0" borderId="20" xfId="39" applyFont="1" applyBorder="1" applyAlignment="1">
      <alignment vertical="center" wrapText="1"/>
    </xf>
    <xf numFmtId="3" fontId="50" fillId="0" borderId="20" xfId="44" applyNumberFormat="1" applyFont="1" applyBorder="1" applyAlignment="1">
      <alignment horizontal="center" vertical="center" wrapText="1"/>
    </xf>
    <xf numFmtId="3" fontId="50" fillId="2" borderId="20" xfId="43" applyNumberFormat="1" applyFont="1" applyFill="1" applyBorder="1" applyAlignment="1">
      <alignment horizontal="center" vertical="center" wrapText="1"/>
    </xf>
    <xf numFmtId="3" fontId="50" fillId="0" borderId="20" xfId="47" applyNumberFormat="1" applyFont="1" applyBorder="1" applyAlignment="1">
      <alignment horizontal="center" vertical="center" wrapText="1"/>
    </xf>
    <xf numFmtId="3" fontId="50" fillId="0" borderId="21" xfId="47" applyNumberFormat="1" applyFont="1" applyBorder="1" applyAlignment="1">
      <alignment horizontal="center" vertical="center" wrapText="1"/>
    </xf>
    <xf numFmtId="0" fontId="50" fillId="0" borderId="0" xfId="39" applyFont="1" applyAlignment="1">
      <alignment horizontal="center" vertical="center"/>
    </xf>
    <xf numFmtId="0" fontId="50" fillId="10" borderId="20" xfId="39" applyFont="1" applyFill="1" applyBorder="1" applyAlignment="1">
      <alignment vertical="center" wrapText="1"/>
    </xf>
    <xf numFmtId="0" fontId="31" fillId="0" borderId="0" xfId="6" applyFont="1" applyAlignment="1">
      <alignment vertical="center"/>
    </xf>
    <xf numFmtId="0" fontId="31" fillId="2" borderId="20" xfId="6" applyFont="1" applyFill="1" applyBorder="1" applyAlignment="1">
      <alignment horizontal="center"/>
    </xf>
    <xf numFmtId="3" fontId="31" fillId="2" borderId="20" xfId="26" applyNumberFormat="1" applyFont="1" applyFill="1" applyBorder="1" applyAlignment="1">
      <alignment horizontal="center"/>
    </xf>
    <xf numFmtId="2" fontId="31" fillId="2" borderId="20" xfId="26" applyNumberFormat="1" applyFont="1" applyFill="1" applyBorder="1" applyAlignment="1">
      <alignment horizontal="center"/>
    </xf>
    <xf numFmtId="0" fontId="31" fillId="0" borderId="20" xfId="6" applyFont="1" applyBorder="1" applyAlignment="1">
      <alignment horizontal="center"/>
    </xf>
    <xf numFmtId="3" fontId="31" fillId="0" borderId="20" xfId="6" applyNumberFormat="1" applyFont="1" applyBorder="1" applyAlignment="1">
      <alignment horizontal="center"/>
    </xf>
    <xf numFmtId="172" fontId="30" fillId="5" borderId="20" xfId="26" applyNumberFormat="1" applyFont="1" applyFill="1" applyBorder="1" applyAlignment="1" applyProtection="1">
      <alignment horizontal="center"/>
      <protection hidden="1"/>
    </xf>
    <xf numFmtId="0" fontId="60" fillId="2" borderId="0" xfId="6" applyFont="1" applyFill="1" applyAlignment="1">
      <alignment horizontal="left" wrapText="1"/>
    </xf>
    <xf numFmtId="0" fontId="30" fillId="0" borderId="0" xfId="0" applyFont="1"/>
    <xf numFmtId="168" fontId="31" fillId="0" borderId="0" xfId="0" applyNumberFormat="1" applyFont="1"/>
    <xf numFmtId="0" fontId="31" fillId="0" borderId="0" xfId="14" applyFont="1"/>
    <xf numFmtId="0" fontId="9" fillId="2" borderId="0" xfId="51" applyFont="1" applyFill="1" applyAlignment="1">
      <alignment horizontal="center" vertical="center"/>
    </xf>
    <xf numFmtId="0" fontId="31" fillId="2" borderId="0" xfId="51" applyFont="1" applyFill="1" applyAlignment="1">
      <alignment horizontal="center" vertical="center"/>
    </xf>
    <xf numFmtId="0" fontId="31" fillId="0" borderId="0" xfId="6" applyFont="1" applyAlignment="1">
      <alignment horizontal="center"/>
    </xf>
    <xf numFmtId="0" fontId="30" fillId="0" borderId="20" xfId="6" applyFont="1" applyBorder="1" applyAlignment="1">
      <alignment horizontal="center" wrapText="1"/>
    </xf>
    <xf numFmtId="0" fontId="31" fillId="0" borderId="20" xfId="6" applyFont="1" applyBorder="1" applyAlignment="1">
      <alignment horizontal="left"/>
    </xf>
    <xf numFmtId="0" fontId="27" fillId="0" borderId="0" xfId="14" applyFont="1"/>
    <xf numFmtId="0" fontId="61" fillId="2" borderId="0" xfId="51" applyFont="1" applyFill="1" applyAlignment="1">
      <alignment horizontal="center" vertical="center"/>
    </xf>
    <xf numFmtId="0" fontId="62" fillId="2" borderId="0" xfId="51" applyFont="1" applyFill="1" applyAlignment="1">
      <alignment horizontal="center" vertical="center"/>
    </xf>
    <xf numFmtId="0" fontId="61" fillId="0" borderId="0" xfId="6" applyFont="1"/>
    <xf numFmtId="0" fontId="30" fillId="0" borderId="32" xfId="6" applyFont="1" applyBorder="1" applyAlignment="1">
      <alignment horizontal="center" vertical="center"/>
    </xf>
    <xf numFmtId="0" fontId="30" fillId="0" borderId="31" xfId="6" applyFont="1" applyBorder="1" applyAlignment="1">
      <alignment horizontal="center" vertical="center"/>
    </xf>
    <xf numFmtId="0" fontId="30" fillId="0" borderId="33" xfId="6" applyFont="1" applyBorder="1" applyAlignment="1">
      <alignment horizontal="center" vertical="center"/>
    </xf>
    <xf numFmtId="0" fontId="30" fillId="0" borderId="31" xfId="6" applyFont="1" applyBorder="1" applyAlignment="1">
      <alignment horizontal="center" vertical="center" wrapText="1"/>
    </xf>
    <xf numFmtId="0" fontId="30" fillId="0" borderId="34" xfId="6" applyFont="1" applyBorder="1" applyAlignment="1">
      <alignment horizontal="center" vertical="center" wrapText="1"/>
    </xf>
    <xf numFmtId="174" fontId="31" fillId="0" borderId="22" xfId="6" applyNumberFormat="1" applyFont="1" applyBorder="1"/>
    <xf numFmtId="0" fontId="31" fillId="0" borderId="21" xfId="6" applyFont="1" applyBorder="1"/>
    <xf numFmtId="3" fontId="31" fillId="0" borderId="13" xfId="6" applyNumberFormat="1" applyFont="1" applyBorder="1"/>
    <xf numFmtId="174" fontId="31" fillId="0" borderId="21" xfId="6" applyNumberFormat="1" applyFont="1" applyBorder="1"/>
    <xf numFmtId="3" fontId="30" fillId="0" borderId="31" xfId="6" applyNumberFormat="1" applyFont="1" applyBorder="1"/>
    <xf numFmtId="0" fontId="31" fillId="0" borderId="0" xfId="6" applyFont="1" applyAlignment="1">
      <alignment horizontal="left"/>
    </xf>
    <xf numFmtId="168" fontId="30" fillId="0" borderId="0" xfId="0" applyNumberFormat="1" applyFont="1"/>
    <xf numFmtId="0" fontId="28" fillId="0" borderId="0" xfId="6" applyFont="1"/>
    <xf numFmtId="0" fontId="61" fillId="0" borderId="27" xfId="6" applyFont="1" applyBorder="1"/>
    <xf numFmtId="0" fontId="61" fillId="0" borderId="25" xfId="6" applyFont="1" applyBorder="1"/>
    <xf numFmtId="0" fontId="61" fillId="0" borderId="28" xfId="6" applyFont="1" applyBorder="1"/>
    <xf numFmtId="0" fontId="61" fillId="0" borderId="0" xfId="6" applyFont="1" applyAlignment="1">
      <alignment vertical="center" wrapText="1"/>
    </xf>
    <xf numFmtId="0" fontId="61" fillId="0" borderId="0" xfId="6" applyFont="1" applyAlignment="1">
      <alignment wrapText="1"/>
    </xf>
    <xf numFmtId="0" fontId="61" fillId="0" borderId="9" xfId="6" applyFont="1" applyBorder="1" applyAlignment="1">
      <alignment vertical="center" wrapText="1"/>
    </xf>
    <xf numFmtId="0" fontId="61" fillId="0" borderId="17" xfId="6" applyFont="1" applyBorder="1" applyAlignment="1">
      <alignment vertical="center" wrapText="1"/>
    </xf>
    <xf numFmtId="0" fontId="63" fillId="0" borderId="9" xfId="6" applyFont="1" applyBorder="1" applyAlignment="1">
      <alignment vertical="center"/>
    </xf>
    <xf numFmtId="0" fontId="61" fillId="0" borderId="0" xfId="6" applyFont="1" applyAlignment="1">
      <alignment horizontal="left" vertical="center"/>
    </xf>
    <xf numFmtId="4" fontId="61" fillId="0" borderId="9" xfId="6" applyNumberFormat="1" applyFont="1" applyBorder="1"/>
    <xf numFmtId="3" fontId="61" fillId="0" borderId="0" xfId="6" applyNumberFormat="1" applyFont="1"/>
    <xf numFmtId="4" fontId="61" fillId="0" borderId="0" xfId="6" applyNumberFormat="1" applyFont="1"/>
    <xf numFmtId="0" fontId="61" fillId="0" borderId="17" xfId="6" applyFont="1" applyBorder="1"/>
    <xf numFmtId="0" fontId="61" fillId="0" borderId="9" xfId="6" applyFont="1" applyBorder="1"/>
    <xf numFmtId="0" fontId="28" fillId="2" borderId="0" xfId="6" applyFont="1" applyFill="1" applyAlignment="1">
      <alignment wrapText="1"/>
    </xf>
    <xf numFmtId="0" fontId="28" fillId="2" borderId="27" xfId="6" applyFont="1" applyFill="1" applyBorder="1" applyAlignment="1">
      <alignment wrapText="1"/>
    </xf>
    <xf numFmtId="0" fontId="28" fillId="2" borderId="25" xfId="6" applyFont="1" applyFill="1" applyBorder="1" applyAlignment="1">
      <alignment wrapText="1"/>
    </xf>
    <xf numFmtId="0" fontId="28" fillId="2" borderId="28" xfId="6" applyFont="1" applyFill="1" applyBorder="1" applyAlignment="1">
      <alignment wrapText="1"/>
    </xf>
    <xf numFmtId="0" fontId="63" fillId="0" borderId="9" xfId="6" applyFont="1" applyBorder="1"/>
    <xf numFmtId="0" fontId="63" fillId="0" borderId="0" xfId="6" applyFont="1"/>
    <xf numFmtId="0" fontId="28" fillId="0" borderId="17" xfId="6" applyFont="1" applyBorder="1"/>
    <xf numFmtId="0" fontId="61" fillId="2" borderId="9" xfId="6" applyFont="1" applyFill="1" applyBorder="1" applyAlignment="1">
      <alignment horizontal="left"/>
    </xf>
    <xf numFmtId="3" fontId="4" fillId="0" borderId="3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1" fillId="0" borderId="0" xfId="28" applyFont="1" applyAlignment="1">
      <alignment horizontal="center" vertical="center" wrapText="1"/>
    </xf>
    <xf numFmtId="0" fontId="41" fillId="0" borderId="25" xfId="28" applyFont="1" applyBorder="1" applyAlignment="1">
      <alignment horizontal="center" vertical="center" wrapText="1"/>
    </xf>
    <xf numFmtId="3" fontId="41" fillId="0" borderId="25" xfId="28" applyNumberFormat="1" applyFont="1" applyBorder="1" applyAlignment="1">
      <alignment vertical="center" wrapText="1"/>
    </xf>
    <xf numFmtId="0" fontId="41" fillId="0" borderId="0" xfId="28" applyFont="1" applyAlignment="1">
      <alignment vertical="center" wrapText="1"/>
    </xf>
    <xf numFmtId="3" fontId="41" fillId="0" borderId="26" xfId="28" applyNumberFormat="1" applyFont="1" applyBorder="1" applyAlignment="1">
      <alignment vertical="center" wrapText="1"/>
    </xf>
    <xf numFmtId="41" fontId="39" fillId="0" borderId="0" xfId="28" applyNumberFormat="1" applyFont="1"/>
    <xf numFmtId="3" fontId="49" fillId="0" borderId="0" xfId="39" applyNumberFormat="1" applyFont="1"/>
    <xf numFmtId="0" fontId="67" fillId="2" borderId="0" xfId="17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3" fontId="4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3" fontId="3" fillId="0" borderId="0" xfId="0" applyNumberFormat="1" applyFont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3" fontId="10" fillId="0" borderId="3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65" fillId="0" borderId="0" xfId="0" applyFont="1" applyAlignment="1">
      <alignment vertical="center"/>
    </xf>
    <xf numFmtId="3" fontId="26" fillId="2" borderId="0" xfId="0" applyNumberFormat="1" applyFont="1" applyFill="1" applyAlignment="1">
      <alignment horizontal="right" vertical="center"/>
    </xf>
    <xf numFmtId="0" fontId="12" fillId="0" borderId="36" xfId="2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left" vertical="center"/>
    </xf>
    <xf numFmtId="0" fontId="10" fillId="0" borderId="36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0" borderId="35" xfId="0" applyFont="1" applyBorder="1" applyAlignment="1">
      <alignment horizontal="left" vertical="center" wrapText="1"/>
    </xf>
    <xf numFmtId="3" fontId="10" fillId="0" borderId="0" xfId="3" applyNumberFormat="1" applyFont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0" fontId="4" fillId="0" borderId="18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10" fillId="0" borderId="36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6" xfId="4" applyFont="1" applyBorder="1" applyAlignment="1">
      <alignment horizontal="right" vertical="center" wrapText="1"/>
    </xf>
    <xf numFmtId="0" fontId="2" fillId="0" borderId="35" xfId="0" applyFont="1" applyBorder="1" applyAlignment="1">
      <alignment horizontal="left" vertical="center" wrapText="1"/>
    </xf>
    <xf numFmtId="0" fontId="10" fillId="0" borderId="0" xfId="4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3" fontId="10" fillId="0" borderId="6" xfId="5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right" vertical="center" wrapText="1"/>
    </xf>
    <xf numFmtId="168" fontId="8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0" borderId="36" xfId="0" applyFont="1" applyBorder="1" applyAlignment="1">
      <alignment horizontal="right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3" fontId="2" fillId="0" borderId="31" xfId="5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vertical="center"/>
    </xf>
    <xf numFmtId="3" fontId="7" fillId="3" borderId="17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3" fontId="10" fillId="0" borderId="36" xfId="0" applyNumberFormat="1" applyFont="1" applyBorder="1" applyAlignment="1">
      <alignment horizontal="center" vertical="top" wrapText="1"/>
    </xf>
    <xf numFmtId="0" fontId="30" fillId="0" borderId="0" xfId="15" applyFont="1" applyAlignment="1">
      <alignment horizontal="center"/>
    </xf>
    <xf numFmtId="0" fontId="74" fillId="11" borderId="20" xfId="0" applyFont="1" applyFill="1" applyBorder="1" applyAlignment="1">
      <alignment horizontal="center" vertical="center" wrapText="1"/>
    </xf>
    <xf numFmtId="3" fontId="30" fillId="0" borderId="20" xfId="15" applyNumberFormat="1" applyFont="1" applyBorder="1" applyAlignment="1">
      <alignment horizontal="center" vertical="center" wrapText="1"/>
    </xf>
    <xf numFmtId="0" fontId="2" fillId="2" borderId="20" xfId="15" applyFont="1" applyFill="1" applyBorder="1" applyAlignment="1">
      <alignment horizontal="left" wrapText="1"/>
    </xf>
    <xf numFmtId="0" fontId="70" fillId="11" borderId="20" xfId="0" applyFont="1" applyFill="1" applyBorder="1" applyAlignment="1">
      <alignment horizontal="center" vertical="top" wrapText="1"/>
    </xf>
    <xf numFmtId="0" fontId="70" fillId="11" borderId="20" xfId="0" applyFont="1" applyFill="1" applyBorder="1" applyAlignment="1">
      <alignment vertical="top" wrapText="1"/>
    </xf>
    <xf numFmtId="1" fontId="10" fillId="2" borderId="20" xfId="15" applyNumberFormat="1" applyFont="1" applyFill="1" applyBorder="1"/>
    <xf numFmtId="0" fontId="10" fillId="2" borderId="20" xfId="15" applyFont="1" applyFill="1" applyBorder="1"/>
    <xf numFmtId="0" fontId="10" fillId="2" borderId="20" xfId="15" applyFont="1" applyFill="1" applyBorder="1" applyAlignment="1">
      <alignment horizontal="center"/>
    </xf>
    <xf numFmtId="167" fontId="70" fillId="11" borderId="20" xfId="0" applyNumberFormat="1" applyFont="1" applyFill="1" applyBorder="1" applyAlignment="1">
      <alignment vertical="top" wrapText="1"/>
    </xf>
    <xf numFmtId="3" fontId="10" fillId="2" borderId="20" xfId="15" applyNumberFormat="1" applyFont="1" applyFill="1" applyBorder="1"/>
    <xf numFmtId="1" fontId="10" fillId="0" borderId="20" xfId="15" applyNumberFormat="1" applyFont="1" applyBorder="1"/>
    <xf numFmtId="0" fontId="2" fillId="2" borderId="20" xfId="15" applyFont="1" applyFill="1" applyBorder="1"/>
    <xf numFmtId="0" fontId="10" fillId="0" borderId="20" xfId="15" applyFont="1" applyBorder="1"/>
    <xf numFmtId="0" fontId="10" fillId="0" borderId="0" xfId="15" applyFont="1"/>
    <xf numFmtId="4" fontId="10" fillId="0" borderId="0" xfId="15" applyNumberFormat="1" applyFont="1"/>
    <xf numFmtId="3" fontId="10" fillId="0" borderId="0" xfId="15" applyNumberFormat="1" applyFont="1"/>
    <xf numFmtId="0" fontId="10" fillId="2" borderId="0" xfId="15" applyFont="1" applyFill="1"/>
    <xf numFmtId="4" fontId="3" fillId="0" borderId="0" xfId="15" applyNumberFormat="1" applyFont="1"/>
    <xf numFmtId="3" fontId="2" fillId="4" borderId="20" xfId="15" applyNumberFormat="1" applyFont="1" applyFill="1" applyBorder="1"/>
    <xf numFmtId="0" fontId="2" fillId="0" borderId="0" xfId="15" applyFont="1"/>
    <xf numFmtId="167" fontId="10" fillId="0" borderId="0" xfId="15" applyNumberFormat="1" applyFont="1"/>
    <xf numFmtId="3" fontId="2" fillId="0" borderId="0" xfId="15" applyNumberFormat="1" applyFont="1" applyAlignment="1">
      <alignment horizontal="left" wrapText="1"/>
    </xf>
    <xf numFmtId="3" fontId="10" fillId="0" borderId="0" xfId="15" applyNumberFormat="1" applyFont="1" applyAlignment="1">
      <alignment wrapText="1"/>
    </xf>
    <xf numFmtId="3" fontId="2" fillId="0" borderId="0" xfId="15" applyNumberFormat="1" applyFont="1" applyAlignment="1">
      <alignment wrapText="1"/>
    </xf>
    <xf numFmtId="0" fontId="35" fillId="0" borderId="0" xfId="0" applyFont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0" fontId="75" fillId="11" borderId="20" xfId="0" applyFont="1" applyFill="1" applyBorder="1" applyAlignment="1">
      <alignment horizontal="center" vertical="center" wrapText="1"/>
    </xf>
    <xf numFmtId="0" fontId="33" fillId="0" borderId="0" xfId="0" applyFont="1"/>
    <xf numFmtId="0" fontId="9" fillId="11" borderId="0" xfId="0" applyFont="1" applyFill="1"/>
    <xf numFmtId="0" fontId="9" fillId="0" borderId="0" xfId="0" applyFont="1"/>
    <xf numFmtId="0" fontId="60" fillId="11" borderId="0" xfId="0" applyFont="1" applyFill="1" applyAlignment="1">
      <alignment vertical="center" wrapText="1"/>
    </xf>
    <xf numFmtId="0" fontId="9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0" borderId="20" xfId="2" applyFont="1" applyBorder="1" applyAlignment="1">
      <alignment horizontal="center"/>
    </xf>
    <xf numFmtId="0" fontId="7" fillId="0" borderId="0" xfId="0" applyFont="1" applyAlignment="1">
      <alignment vertical="top"/>
    </xf>
    <xf numFmtId="49" fontId="2" fillId="0" borderId="2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0" fontId="2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9" fillId="0" borderId="0" xfId="0" applyFont="1"/>
    <xf numFmtId="0" fontId="60" fillId="11" borderId="20" xfId="0" applyFont="1" applyFill="1" applyBorder="1" applyAlignment="1">
      <alignment horizontal="right" vertical="center" wrapText="1"/>
    </xf>
    <xf numFmtId="0" fontId="60" fillId="11" borderId="20" xfId="0" applyFont="1" applyFill="1" applyBorder="1" applyAlignment="1">
      <alignment vertical="center" wrapText="1"/>
    </xf>
    <xf numFmtId="0" fontId="74" fillId="11" borderId="20" xfId="0" applyFont="1" applyFill="1" applyBorder="1" applyAlignment="1">
      <alignment horizontal="right" vertical="center" wrapText="1"/>
    </xf>
    <xf numFmtId="0" fontId="75" fillId="11" borderId="20" xfId="0" applyFont="1" applyFill="1" applyBorder="1" applyAlignment="1">
      <alignment vertical="center" wrapText="1"/>
    </xf>
    <xf numFmtId="167" fontId="75" fillId="11" borderId="20" xfId="0" applyNumberFormat="1" applyFont="1" applyFill="1" applyBorder="1" applyAlignment="1">
      <alignment horizontal="center" vertical="center" wrapText="1"/>
    </xf>
    <xf numFmtId="0" fontId="75" fillId="11" borderId="20" xfId="0" applyFont="1" applyFill="1" applyBorder="1" applyAlignment="1">
      <alignment horizontal="right" vertical="center" wrapText="1"/>
    </xf>
    <xf numFmtId="0" fontId="79" fillId="0" borderId="0" xfId="0" applyFont="1"/>
    <xf numFmtId="0" fontId="80" fillId="11" borderId="20" xfId="0" applyFont="1" applyFill="1" applyBorder="1" applyAlignment="1">
      <alignment vertical="center" wrapText="1"/>
    </xf>
    <xf numFmtId="0" fontId="81" fillId="11" borderId="20" xfId="0" applyFont="1" applyFill="1" applyBorder="1" applyAlignment="1">
      <alignment vertical="center" wrapText="1"/>
    </xf>
    <xf numFmtId="0" fontId="80" fillId="11" borderId="20" xfId="0" applyFont="1" applyFill="1" applyBorder="1" applyAlignment="1">
      <alignment horizontal="center" vertical="center" wrapText="1"/>
    </xf>
    <xf numFmtId="167" fontId="80" fillId="11" borderId="20" xfId="0" applyNumberFormat="1" applyFont="1" applyFill="1" applyBorder="1" applyAlignment="1">
      <alignment horizontal="center" vertical="center" wrapText="1"/>
    </xf>
    <xf numFmtId="0" fontId="81" fillId="11" borderId="20" xfId="0" applyFont="1" applyFill="1" applyBorder="1" applyAlignment="1">
      <alignment horizontal="right" vertical="center" wrapText="1"/>
    </xf>
    <xf numFmtId="0" fontId="80" fillId="11" borderId="20" xfId="0" applyFont="1" applyFill="1" applyBorder="1" applyAlignment="1">
      <alignment horizontal="right" vertical="center" wrapText="1"/>
    </xf>
    <xf numFmtId="0" fontId="82" fillId="0" borderId="0" xfId="0" applyFont="1"/>
    <xf numFmtId="3" fontId="83" fillId="0" borderId="20" xfId="7" applyNumberFormat="1" applyFont="1" applyBorder="1" applyAlignment="1">
      <alignment horizontal="center" vertical="center" wrapText="1"/>
    </xf>
    <xf numFmtId="3" fontId="84" fillId="0" borderId="20" xfId="0" applyNumberFormat="1" applyFont="1" applyBorder="1"/>
    <xf numFmtId="167" fontId="85" fillId="0" borderId="20" xfId="0" applyNumberFormat="1" applyFont="1" applyBorder="1" applyAlignment="1">
      <alignment horizontal="center" vertical="center"/>
    </xf>
    <xf numFmtId="167" fontId="85" fillId="0" borderId="20" xfId="0" applyNumberFormat="1" applyFont="1" applyBorder="1" applyAlignment="1">
      <alignment horizontal="center" vertical="center" wrapText="1"/>
    </xf>
    <xf numFmtId="3" fontId="84" fillId="0" borderId="20" xfId="0" applyNumberFormat="1" applyFont="1" applyBorder="1" applyAlignment="1">
      <alignment horizontal="right"/>
    </xf>
    <xf numFmtId="3" fontId="85" fillId="0" borderId="20" xfId="0" applyNumberFormat="1" applyFont="1" applyBorder="1" applyAlignment="1">
      <alignment horizontal="right"/>
    </xf>
    <xf numFmtId="167" fontId="84" fillId="0" borderId="20" xfId="0" applyNumberFormat="1" applyFont="1" applyBorder="1" applyAlignment="1">
      <alignment horizontal="right"/>
    </xf>
    <xf numFmtId="4" fontId="18" fillId="0" borderId="0" xfId="8" applyNumberFormat="1" applyFont="1" applyFill="1" applyBorder="1" applyAlignment="1">
      <alignment horizontal="right" vertical="center" wrapText="1"/>
    </xf>
    <xf numFmtId="4" fontId="85" fillId="0" borderId="20" xfId="0" applyNumberFormat="1" applyFont="1" applyBorder="1" applyAlignment="1">
      <alignment horizontal="right"/>
    </xf>
    <xf numFmtId="167" fontId="85" fillId="0" borderId="20" xfId="0" applyNumberFormat="1" applyFont="1" applyBorder="1" applyAlignment="1">
      <alignment horizontal="right"/>
    </xf>
    <xf numFmtId="3" fontId="84" fillId="0" borderId="0" xfId="0" applyNumberFormat="1" applyFont="1"/>
    <xf numFmtId="167" fontId="85" fillId="0" borderId="20" xfId="0" applyNumberFormat="1" applyFont="1" applyBorder="1" applyAlignment="1">
      <alignment horizontal="center"/>
    </xf>
    <xf numFmtId="174" fontId="85" fillId="0" borderId="20" xfId="0" applyNumberFormat="1" applyFont="1" applyBorder="1" applyAlignment="1">
      <alignment horizontal="right"/>
    </xf>
    <xf numFmtId="3" fontId="83" fillId="0" borderId="20" xfId="6" applyNumberFormat="1" applyFont="1" applyBorder="1" applyAlignment="1">
      <alignment horizontal="center" vertical="center" wrapText="1"/>
    </xf>
    <xf numFmtId="3" fontId="83" fillId="0" borderId="20" xfId="12" applyNumberFormat="1" applyFont="1" applyBorder="1" applyAlignment="1">
      <alignment horizontal="center" vertical="center"/>
    </xf>
    <xf numFmtId="167" fontId="84" fillId="0" borderId="20" xfId="0" applyNumberFormat="1" applyFont="1" applyBorder="1"/>
    <xf numFmtId="3" fontId="83" fillId="0" borderId="20" xfId="9" applyNumberFormat="1" applyFont="1" applyBorder="1" applyAlignment="1">
      <alignment horizontal="center" vertical="center" wrapText="1"/>
    </xf>
    <xf numFmtId="3" fontId="86" fillId="0" borderId="20" xfId="0" applyNumberFormat="1" applyFont="1" applyBorder="1" applyAlignment="1">
      <alignment vertical="center" wrapText="1"/>
    </xf>
    <xf numFmtId="3" fontId="86" fillId="0" borderId="20" xfId="0" applyNumberFormat="1" applyFont="1" applyBorder="1"/>
    <xf numFmtId="3" fontId="85" fillId="0" borderId="20" xfId="0" applyNumberFormat="1" applyFont="1" applyBorder="1"/>
    <xf numFmtId="3" fontId="85" fillId="0" borderId="20" xfId="0" applyNumberFormat="1" applyFont="1" applyBorder="1" applyAlignment="1">
      <alignment horizontal="center"/>
    </xf>
    <xf numFmtId="0" fontId="60" fillId="0" borderId="0" xfId="0" applyFont="1" applyAlignment="1">
      <alignment vertic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68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0" fontId="67" fillId="0" borderId="0" xfId="0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167" fontId="29" fillId="0" borderId="0" xfId="0" applyNumberFormat="1" applyFont="1" applyAlignment="1">
      <alignment horizontal="center"/>
    </xf>
    <xf numFmtId="0" fontId="66" fillId="0" borderId="0" xfId="0" applyFont="1"/>
    <xf numFmtId="0" fontId="34" fillId="0" borderId="0" xfId="0" applyFont="1" applyAlignment="1">
      <alignment horizontal="right" vertical="center" wrapText="1"/>
    </xf>
    <xf numFmtId="0" fontId="76" fillId="2" borderId="0" xfId="0" applyFont="1" applyFill="1" applyAlignment="1">
      <alignment horizontal="right"/>
    </xf>
    <xf numFmtId="3" fontId="34" fillId="0" borderId="0" xfId="6" applyNumberFormat="1" applyFont="1" applyAlignment="1">
      <alignment horizontal="right" vertical="center"/>
    </xf>
    <xf numFmtId="3" fontId="34" fillId="0" borderId="0" xfId="6" applyNumberFormat="1" applyFont="1" applyAlignment="1">
      <alignment horizontal="right"/>
    </xf>
    <xf numFmtId="0" fontId="60" fillId="0" borderId="0" xfId="0" applyFont="1"/>
    <xf numFmtId="0" fontId="4" fillId="0" borderId="0" xfId="55" applyFont="1"/>
    <xf numFmtId="0" fontId="4" fillId="0" borderId="0" xfId="55" applyFont="1" applyAlignment="1">
      <alignment horizontal="center"/>
    </xf>
    <xf numFmtId="0" fontId="4" fillId="2" borderId="0" xfId="55" applyFont="1" applyFill="1" applyAlignment="1">
      <alignment horizontal="center"/>
    </xf>
    <xf numFmtId="0" fontId="10" fillId="0" borderId="0" xfId="6" applyFont="1" applyAlignment="1">
      <alignment horizontal="left" vertical="center" wrapText="1"/>
    </xf>
    <xf numFmtId="0" fontId="2" fillId="0" borderId="20" xfId="6" applyFont="1" applyBorder="1" applyAlignment="1">
      <alignment horizontal="center" vertical="center" wrapText="1"/>
    </xf>
    <xf numFmtId="0" fontId="87" fillId="0" borderId="20" xfId="6" applyFont="1" applyBorder="1" applyAlignment="1">
      <alignment horizontal="center" vertical="center"/>
    </xf>
    <xf numFmtId="0" fontId="87" fillId="0" borderId="0" xfId="6" applyFont="1"/>
    <xf numFmtId="0" fontId="10" fillId="0" borderId="20" xfId="6" applyFont="1" applyBorder="1" applyAlignment="1">
      <alignment horizontal="center" vertical="center" wrapText="1"/>
    </xf>
    <xf numFmtId="0" fontId="10" fillId="0" borderId="20" xfId="6" applyFont="1" applyBorder="1" applyAlignment="1">
      <alignment horizontal="justify" vertical="justify" wrapText="1"/>
    </xf>
    <xf numFmtId="0" fontId="10" fillId="0" borderId="20" xfId="6" applyFont="1" applyBorder="1" applyAlignment="1">
      <alignment horizontal="center" vertical="center"/>
    </xf>
    <xf numFmtId="0" fontId="10" fillId="0" borderId="20" xfId="6" applyFont="1" applyBorder="1" applyAlignment="1">
      <alignment vertical="center"/>
    </xf>
    <xf numFmtId="168" fontId="10" fillId="0" borderId="20" xfId="6" applyNumberFormat="1" applyFont="1" applyBorder="1" applyAlignment="1">
      <alignment horizontal="center" vertical="center"/>
    </xf>
    <xf numFmtId="168" fontId="10" fillId="0" borderId="20" xfId="6" applyNumberFormat="1" applyFont="1" applyBorder="1" applyAlignment="1">
      <alignment vertical="center"/>
    </xf>
    <xf numFmtId="0" fontId="2" fillId="0" borderId="20" xfId="6" applyFont="1" applyBorder="1" applyAlignment="1">
      <alignment horizontal="left" vertical="center" wrapText="1"/>
    </xf>
    <xf numFmtId="1" fontId="2" fillId="0" borderId="20" xfId="6" applyNumberFormat="1" applyFont="1" applyBorder="1" applyAlignment="1">
      <alignment horizontal="center" vertical="center"/>
    </xf>
    <xf numFmtId="0" fontId="2" fillId="0" borderId="25" xfId="6" applyFont="1" applyBorder="1" applyAlignment="1">
      <alignment wrapText="1"/>
    </xf>
    <xf numFmtId="0" fontId="2" fillId="0" borderId="0" xfId="6" applyFont="1"/>
    <xf numFmtId="0" fontId="10" fillId="2" borderId="0" xfId="6" applyFont="1" applyFill="1"/>
    <xf numFmtId="0" fontId="10" fillId="0" borderId="0" xfId="6" applyFont="1" applyAlignment="1">
      <alignment horizontal="right"/>
    </xf>
    <xf numFmtId="0" fontId="28" fillId="0" borderId="20" xfId="6" applyFont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 wrapText="1"/>
    </xf>
    <xf numFmtId="0" fontId="88" fillId="0" borderId="0" xfId="0" applyFont="1"/>
    <xf numFmtId="0" fontId="64" fillId="0" borderId="0" xfId="0" applyFont="1"/>
    <xf numFmtId="0" fontId="88" fillId="0" borderId="0" xfId="0" applyFont="1" applyAlignment="1">
      <alignment horizontal="left"/>
    </xf>
    <xf numFmtId="0" fontId="89" fillId="0" borderId="0" xfId="0" applyFont="1" applyAlignment="1">
      <alignment horizontal="left" wrapText="1"/>
    </xf>
    <xf numFmtId="3" fontId="88" fillId="0" borderId="0" xfId="0" applyNumberFormat="1" applyFont="1"/>
    <xf numFmtId="4" fontId="88" fillId="0" borderId="0" xfId="0" applyNumberFormat="1" applyFont="1"/>
    <xf numFmtId="2" fontId="88" fillId="0" borderId="0" xfId="0" applyNumberFormat="1" applyFont="1"/>
    <xf numFmtId="0" fontId="4" fillId="0" borderId="0" xfId="0" applyFont="1" applyAlignment="1">
      <alignment horizontal="left" wrapText="1"/>
    </xf>
    <xf numFmtId="0" fontId="73" fillId="0" borderId="0" xfId="6" applyFont="1"/>
    <xf numFmtId="0" fontId="73" fillId="0" borderId="0" xfId="6" applyFont="1" applyAlignment="1">
      <alignment horizontal="left" vertical="center" wrapText="1"/>
    </xf>
    <xf numFmtId="0" fontId="92" fillId="11" borderId="0" xfId="0" applyFont="1" applyFill="1" applyAlignment="1">
      <alignment horizontal="center" vertical="top" wrapText="1"/>
    </xf>
    <xf numFmtId="49" fontId="34" fillId="0" borderId="0" xfId="6" applyNumberFormat="1" applyFont="1"/>
    <xf numFmtId="0" fontId="94" fillId="11" borderId="20" xfId="0" applyFont="1" applyFill="1" applyBorder="1" applyAlignment="1">
      <alignment horizontal="center" vertical="center" wrapText="1"/>
    </xf>
    <xf numFmtId="0" fontId="73" fillId="0" borderId="20" xfId="6" applyFont="1" applyBorder="1" applyAlignment="1">
      <alignment horizontal="center" vertical="center"/>
    </xf>
    <xf numFmtId="168" fontId="73" fillId="0" borderId="20" xfId="6" applyNumberFormat="1" applyFont="1" applyBorder="1" applyAlignment="1">
      <alignment horizontal="center" vertical="center"/>
    </xf>
    <xf numFmtId="0" fontId="77" fillId="11" borderId="0" xfId="0" applyFont="1" applyFill="1"/>
    <xf numFmtId="0" fontId="34" fillId="0" borderId="20" xfId="6" applyFont="1" applyBorder="1" applyAlignment="1">
      <alignment horizontal="center" vertical="center" wrapText="1"/>
    </xf>
    <xf numFmtId="0" fontId="34" fillId="0" borderId="0" xfId="6" applyFont="1"/>
    <xf numFmtId="0" fontId="92" fillId="11" borderId="20" xfId="0" applyFont="1" applyFill="1" applyBorder="1" applyAlignment="1">
      <alignment horizontal="center" vertical="center" wrapText="1"/>
    </xf>
    <xf numFmtId="0" fontId="93" fillId="0" borderId="20" xfId="6" applyFont="1" applyBorder="1" applyAlignment="1">
      <alignment horizontal="center" vertical="center"/>
    </xf>
    <xf numFmtId="0" fontId="93" fillId="0" borderId="0" xfId="6" applyFont="1" applyAlignment="1">
      <alignment horizontal="center"/>
    </xf>
    <xf numFmtId="0" fontId="92" fillId="11" borderId="20" xfId="0" applyFont="1" applyFill="1" applyBorder="1" applyAlignment="1">
      <alignment vertical="center" wrapText="1"/>
    </xf>
    <xf numFmtId="0" fontId="73" fillId="0" borderId="20" xfId="6" applyFont="1" applyBorder="1" applyAlignment="1">
      <alignment horizontal="center" vertical="center" wrapText="1"/>
    </xf>
    <xf numFmtId="0" fontId="73" fillId="0" borderId="20" xfId="6" applyFont="1" applyBorder="1" applyAlignment="1">
      <alignment vertical="center"/>
    </xf>
    <xf numFmtId="168" fontId="73" fillId="0" borderId="20" xfId="6" applyNumberFormat="1" applyFont="1" applyBorder="1" applyAlignment="1">
      <alignment vertical="center"/>
    </xf>
    <xf numFmtId="1" fontId="34" fillId="0" borderId="20" xfId="6" applyNumberFormat="1" applyFont="1" applyBorder="1" applyAlignment="1">
      <alignment horizontal="center" vertical="center"/>
    </xf>
    <xf numFmtId="0" fontId="94" fillId="11" borderId="20" xfId="0" applyFont="1" applyFill="1" applyBorder="1" applyAlignment="1">
      <alignment vertical="center" wrapText="1"/>
    </xf>
    <xf numFmtId="0" fontId="92" fillId="11" borderId="0" xfId="0" applyFont="1" applyFill="1" applyAlignment="1">
      <alignment vertical="center" wrapText="1"/>
    </xf>
    <xf numFmtId="0" fontId="94" fillId="0" borderId="0" xfId="0" applyFont="1"/>
    <xf numFmtId="3" fontId="73" fillId="0" borderId="20" xfId="6" applyNumberFormat="1" applyFont="1" applyBorder="1" applyAlignment="1">
      <alignment horizontal="center" vertical="center"/>
    </xf>
    <xf numFmtId="1" fontId="2" fillId="0" borderId="20" xfId="15" applyNumberFormat="1" applyFont="1" applyBorder="1"/>
    <xf numFmtId="167" fontId="34" fillId="0" borderId="20" xfId="6" applyNumberFormat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4" fontId="63" fillId="0" borderId="0" xfId="6" applyNumberFormat="1" applyFont="1" applyAlignment="1">
      <alignment horizontal="center" vertical="center"/>
    </xf>
    <xf numFmtId="0" fontId="61" fillId="2" borderId="0" xfId="6" applyFont="1" applyFill="1" applyAlignment="1">
      <alignment horizontal="left" wrapText="1"/>
    </xf>
    <xf numFmtId="0" fontId="61" fillId="2" borderId="17" xfId="6" applyFont="1" applyFill="1" applyBorder="1" applyAlignment="1">
      <alignment horizontal="left" wrapText="1"/>
    </xf>
    <xf numFmtId="168" fontId="2" fillId="0" borderId="20" xfId="6" applyNumberFormat="1" applyFont="1" applyBorder="1" applyAlignment="1">
      <alignment horizontal="center" vertical="center"/>
    </xf>
    <xf numFmtId="167" fontId="2" fillId="2" borderId="20" xfId="15" applyNumberFormat="1" applyFont="1" applyFill="1" applyBorder="1"/>
    <xf numFmtId="0" fontId="7" fillId="2" borderId="0" xfId="17" applyFont="1" applyFill="1" applyAlignment="1">
      <alignment horizontal="left"/>
    </xf>
    <xf numFmtId="0" fontId="4" fillId="2" borderId="0" xfId="17" applyFont="1" applyFill="1"/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14" applyFont="1" applyAlignment="1">
      <alignment vertical="center"/>
    </xf>
    <xf numFmtId="0" fontId="10" fillId="0" borderId="0" xfId="6" applyFont="1" applyAlignment="1">
      <alignment vertical="center"/>
    </xf>
    <xf numFmtId="4" fontId="10" fillId="0" borderId="0" xfId="6" applyNumberFormat="1" applyFont="1" applyAlignment="1">
      <alignment vertical="center"/>
    </xf>
    <xf numFmtId="167" fontId="2" fillId="0" borderId="0" xfId="6" applyNumberFormat="1" applyFont="1" applyAlignment="1">
      <alignment vertical="center"/>
    </xf>
    <xf numFmtId="167" fontId="10" fillId="0" borderId="0" xfId="6" applyNumberFormat="1" applyFont="1" applyAlignment="1">
      <alignment vertical="center"/>
    </xf>
    <xf numFmtId="2" fontId="31" fillId="2" borderId="20" xfId="26" applyNumberFormat="1" applyFont="1" applyFill="1" applyBorder="1" applyAlignment="1">
      <alignment horizontal="right"/>
    </xf>
    <xf numFmtId="172" fontId="30" fillId="0" borderId="20" xfId="26" applyNumberFormat="1" applyFont="1" applyFill="1" applyBorder="1" applyAlignment="1" applyProtection="1">
      <alignment horizontal="right"/>
      <protection hidden="1"/>
    </xf>
    <xf numFmtId="172" fontId="30" fillId="5" borderId="20" xfId="26" applyNumberFormat="1" applyFont="1" applyFill="1" applyBorder="1" applyAlignment="1" applyProtection="1">
      <protection hidden="1"/>
    </xf>
    <xf numFmtId="2" fontId="31" fillId="0" borderId="0" xfId="6" applyNumberFormat="1" applyFont="1"/>
    <xf numFmtId="3" fontId="28" fillId="0" borderId="0" xfId="6" applyNumberFormat="1" applyFont="1"/>
    <xf numFmtId="3" fontId="61" fillId="0" borderId="0" xfId="6" applyNumberFormat="1" applyFont="1" applyAlignment="1">
      <alignment horizontal="center"/>
    </xf>
    <xf numFmtId="167" fontId="2" fillId="0" borderId="0" xfId="15" applyNumberFormat="1" applyFont="1"/>
    <xf numFmtId="0" fontId="4" fillId="0" borderId="0" xfId="0" applyFont="1" applyAlignment="1">
      <alignment horizontal="center"/>
    </xf>
    <xf numFmtId="0" fontId="4" fillId="2" borderId="0" xfId="17" applyFont="1" applyFill="1" applyAlignment="1">
      <alignment horizontal="center" vertical="center"/>
    </xf>
    <xf numFmtId="0" fontId="69" fillId="2" borderId="20" xfId="17" applyFont="1" applyFill="1" applyBorder="1" applyAlignment="1">
      <alignment horizontal="center" vertical="center" wrapText="1"/>
    </xf>
    <xf numFmtId="0" fontId="7" fillId="2" borderId="0" xfId="17" applyFont="1" applyFill="1"/>
    <xf numFmtId="0" fontId="4" fillId="2" borderId="20" xfId="19" applyFont="1" applyFill="1" applyBorder="1" applyAlignment="1">
      <alignment horizontal="left" vertical="center" wrapText="1"/>
    </xf>
    <xf numFmtId="0" fontId="4" fillId="2" borderId="20" xfId="17" applyFont="1" applyFill="1" applyBorder="1"/>
    <xf numFmtId="0" fontId="7" fillId="2" borderId="20" xfId="17" applyFont="1" applyFill="1" applyBorder="1" applyAlignment="1">
      <alignment horizontal="left"/>
    </xf>
    <xf numFmtId="0" fontId="7" fillId="2" borderId="20" xfId="17" applyFont="1" applyFill="1" applyBorder="1" applyAlignment="1">
      <alignment horizontal="right"/>
    </xf>
    <xf numFmtId="0" fontId="4" fillId="2" borderId="0" xfId="17" applyFont="1" applyFill="1" applyAlignment="1">
      <alignment horizontal="center" vertical="center" wrapText="1"/>
    </xf>
    <xf numFmtId="0" fontId="4" fillId="2" borderId="0" xfId="17" applyFont="1" applyFill="1" applyAlignment="1">
      <alignment horizontal="center"/>
    </xf>
    <xf numFmtId="167" fontId="88" fillId="0" borderId="0" xfId="0" applyNumberFormat="1" applyFont="1"/>
    <xf numFmtId="0" fontId="10" fillId="0" borderId="0" xfId="16" applyFont="1" applyAlignment="1">
      <alignment horizontal="center" vertical="center"/>
    </xf>
    <xf numFmtId="0" fontId="10" fillId="0" borderId="0" xfId="16" applyFont="1" applyAlignment="1">
      <alignment horizontal="left" vertical="top"/>
    </xf>
    <xf numFmtId="3" fontId="10" fillId="0" borderId="0" xfId="16" applyNumberFormat="1" applyFont="1" applyAlignment="1">
      <alignment horizontal="right" vertical="center"/>
    </xf>
    <xf numFmtId="0" fontId="16" fillId="0" borderId="0" xfId="6" applyFont="1" applyAlignment="1">
      <alignment horizontal="center"/>
    </xf>
    <xf numFmtId="4" fontId="16" fillId="0" borderId="0" xfId="6" applyNumberFormat="1" applyFont="1"/>
    <xf numFmtId="0" fontId="73" fillId="0" borderId="0" xfId="6" applyFont="1" applyAlignment="1">
      <alignment vertical="center"/>
    </xf>
    <xf numFmtId="0" fontId="34" fillId="0" borderId="20" xfId="6" applyFont="1" applyBorder="1" applyAlignment="1">
      <alignment vertical="center"/>
    </xf>
    <xf numFmtId="180" fontId="66" fillId="2" borderId="20" xfId="17" applyNumberFormat="1" applyFont="1" applyFill="1" applyBorder="1" applyAlignment="1">
      <alignment horizontal="center"/>
    </xf>
    <xf numFmtId="0" fontId="10" fillId="0" borderId="0" xfId="14" applyFont="1"/>
    <xf numFmtId="0" fontId="2" fillId="0" borderId="0" xfId="14" applyFont="1"/>
    <xf numFmtId="0" fontId="10" fillId="0" borderId="0" xfId="14" applyFont="1" applyAlignment="1">
      <alignment horizontal="center" vertical="center"/>
    </xf>
    <xf numFmtId="0" fontId="2" fillId="0" borderId="0" xfId="14" applyFont="1" applyAlignment="1">
      <alignment horizontal="center"/>
    </xf>
    <xf numFmtId="0" fontId="87" fillId="0" borderId="0" xfId="14" applyFont="1" applyAlignment="1">
      <alignment horizontal="center"/>
    </xf>
    <xf numFmtId="0" fontId="95" fillId="0" borderId="0" xfId="0" applyFont="1" applyAlignment="1">
      <alignment horizontal="center"/>
    </xf>
    <xf numFmtId="0" fontId="10" fillId="2" borderId="23" xfId="14" applyFont="1" applyFill="1" applyBorder="1" applyAlignment="1">
      <alignment horizontal="right" vertical="center"/>
    </xf>
    <xf numFmtId="3" fontId="10" fillId="2" borderId="20" xfId="6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0" fontId="99" fillId="0" borderId="0" xfId="28" applyFont="1"/>
    <xf numFmtId="0" fontId="99" fillId="0" borderId="20" xfId="28" applyFont="1" applyBorder="1" applyAlignment="1">
      <alignment horizontal="center" vertical="center"/>
    </xf>
    <xf numFmtId="0" fontId="99" fillId="0" borderId="20" xfId="28" applyFont="1" applyBorder="1"/>
    <xf numFmtId="0" fontId="100" fillId="7" borderId="20" xfId="28" applyFont="1" applyFill="1" applyBorder="1"/>
    <xf numFmtId="0" fontId="39" fillId="2" borderId="0" xfId="36" applyFont="1" applyFill="1"/>
    <xf numFmtId="3" fontId="36" fillId="2" borderId="20" xfId="0" applyNumberFormat="1" applyFont="1" applyFill="1" applyBorder="1" applyAlignment="1">
      <alignment horizontal="center" vertical="center" wrapText="1"/>
    </xf>
    <xf numFmtId="3" fontId="36" fillId="2" borderId="20" xfId="62" applyNumberFormat="1" applyFont="1" applyFill="1" applyBorder="1" applyAlignment="1">
      <alignment horizontal="center" vertical="center" wrapText="1"/>
    </xf>
    <xf numFmtId="3" fontId="43" fillId="13" borderId="20" xfId="28" applyNumberFormat="1" applyFont="1" applyFill="1" applyBorder="1" applyAlignment="1">
      <alignment horizontal="center" vertical="center" wrapText="1"/>
    </xf>
    <xf numFmtId="0" fontId="41" fillId="14" borderId="20" xfId="28" applyFont="1" applyFill="1" applyBorder="1" applyAlignment="1">
      <alignment horizontal="center" vertical="center" wrapText="1"/>
    </xf>
    <xf numFmtId="0" fontId="39" fillId="14" borderId="0" xfId="36" applyFont="1" applyFill="1"/>
    <xf numFmtId="0" fontId="39" fillId="12" borderId="0" xfId="36" applyFont="1" applyFill="1"/>
    <xf numFmtId="3" fontId="38" fillId="2" borderId="20" xfId="29" applyNumberFormat="1" applyFont="1" applyFill="1" applyBorder="1" applyAlignment="1">
      <alignment horizontal="center" vertical="center" wrapText="1"/>
    </xf>
    <xf numFmtId="3" fontId="36" fillId="2" borderId="20" xfId="29" applyNumberFormat="1" applyFont="1" applyFill="1" applyBorder="1" applyAlignment="1">
      <alignment horizontal="center" vertical="center" wrapText="1"/>
    </xf>
    <xf numFmtId="3" fontId="36" fillId="2" borderId="20" xfId="36" applyNumberFormat="1" applyFont="1" applyFill="1" applyBorder="1" applyAlignment="1">
      <alignment horizontal="center" vertical="center" wrapText="1"/>
    </xf>
    <xf numFmtId="0" fontId="100" fillId="2" borderId="20" xfId="28" applyFont="1" applyFill="1" applyBorder="1"/>
    <xf numFmtId="0" fontId="99" fillId="12" borderId="0" xfId="28" applyFont="1" applyFill="1"/>
    <xf numFmtId="3" fontId="36" fillId="0" borderId="20" xfId="62" applyNumberFormat="1" applyFont="1" applyBorder="1" applyAlignment="1">
      <alignment horizontal="center" vertical="center"/>
    </xf>
    <xf numFmtId="3" fontId="36" fillId="0" borderId="20" xfId="62" applyNumberFormat="1" applyFont="1" applyBorder="1" applyAlignment="1">
      <alignment horizontal="center" vertical="center" wrapText="1"/>
    </xf>
    <xf numFmtId="3" fontId="36" fillId="0" borderId="20" xfId="0" applyNumberFormat="1" applyFont="1" applyBorder="1" applyAlignment="1">
      <alignment horizontal="center" vertical="center"/>
    </xf>
    <xf numFmtId="3" fontId="36" fillId="13" borderId="20" xfId="62" applyNumberFormat="1" applyFont="1" applyFill="1" applyBorder="1" applyAlignment="1">
      <alignment horizontal="center" vertical="center" wrapText="1"/>
    </xf>
    <xf numFmtId="3" fontId="41" fillId="13" borderId="20" xfId="0" applyNumberFormat="1" applyFont="1" applyFill="1" applyBorder="1" applyAlignment="1">
      <alignment horizontal="center" vertical="center"/>
    </xf>
    <xf numFmtId="3" fontId="41" fillId="13" borderId="20" xfId="62" applyNumberFormat="1" applyFont="1" applyFill="1" applyBorder="1" applyAlignment="1">
      <alignment horizontal="center" vertical="center"/>
    </xf>
    <xf numFmtId="3" fontId="36" fillId="2" borderId="20" xfId="0" applyNumberFormat="1" applyFont="1" applyFill="1" applyBorder="1" applyAlignment="1">
      <alignment horizontal="center" vertical="center"/>
    </xf>
    <xf numFmtId="3" fontId="36" fillId="2" borderId="20" xfId="62" applyNumberFormat="1" applyFont="1" applyFill="1" applyBorder="1" applyAlignment="1">
      <alignment horizontal="center" vertical="center"/>
    </xf>
    <xf numFmtId="3" fontId="41" fillId="13" borderId="20" xfId="36" applyNumberFormat="1" applyFont="1" applyFill="1" applyBorder="1" applyAlignment="1">
      <alignment horizontal="right" vertical="center" wrapText="1"/>
    </xf>
    <xf numFmtId="3" fontId="41" fillId="15" borderId="20" xfId="36" applyNumberFormat="1" applyFont="1" applyFill="1" applyBorder="1" applyAlignment="1">
      <alignment vertical="center" wrapText="1"/>
    </xf>
    <xf numFmtId="3" fontId="41" fillId="0" borderId="20" xfId="36" applyNumberFormat="1" applyFont="1" applyBorder="1" applyAlignment="1">
      <alignment vertical="center" wrapText="1"/>
    </xf>
    <xf numFmtId="3" fontId="40" fillId="2" borderId="20" xfId="36" applyNumberFormat="1" applyFont="1" applyFill="1" applyBorder="1" applyAlignment="1">
      <alignment horizontal="center" vertical="center"/>
    </xf>
    <xf numFmtId="3" fontId="40" fillId="2" borderId="20" xfId="29" applyNumberFormat="1" applyFont="1" applyFill="1" applyBorder="1" applyAlignment="1">
      <alignment horizontal="center" vertical="center"/>
    </xf>
    <xf numFmtId="3" fontId="43" fillId="2" borderId="20" xfId="29" applyNumberFormat="1" applyFont="1" applyFill="1" applyBorder="1" applyAlignment="1">
      <alignment horizontal="center" vertical="center" wrapText="1"/>
    </xf>
    <xf numFmtId="3" fontId="41" fillId="2" borderId="20" xfId="36" applyNumberFormat="1" applyFont="1" applyFill="1" applyBorder="1" applyAlignment="1">
      <alignment horizontal="center" vertical="center" wrapText="1"/>
    </xf>
    <xf numFmtId="3" fontId="36" fillId="0" borderId="20" xfId="6" applyNumberFormat="1" applyFont="1" applyBorder="1" applyAlignment="1">
      <alignment horizontal="center" vertical="center" wrapText="1"/>
    </xf>
    <xf numFmtId="3" fontId="101" fillId="0" borderId="20" xfId="6" applyNumberFormat="1" applyFont="1" applyBorder="1" applyAlignment="1">
      <alignment horizontal="center" vertical="center" wrapText="1"/>
    </xf>
    <xf numFmtId="3" fontId="38" fillId="2" borderId="20" xfId="36" applyNumberFormat="1" applyFont="1" applyFill="1" applyBorder="1" applyAlignment="1">
      <alignment horizontal="center" vertical="center" wrapText="1"/>
    </xf>
    <xf numFmtId="3" fontId="39" fillId="0" borderId="20" xfId="0" applyNumberFormat="1" applyFont="1" applyBorder="1" applyAlignment="1">
      <alignment horizontal="left" vertical="center" wrapText="1"/>
    </xf>
    <xf numFmtId="3" fontId="38" fillId="2" borderId="20" xfId="0" applyNumberFormat="1" applyFont="1" applyFill="1" applyBorder="1" applyAlignment="1">
      <alignment horizontal="center" vertical="center" wrapText="1"/>
    </xf>
    <xf numFmtId="3" fontId="40" fillId="0" borderId="20" xfId="0" applyNumberFormat="1" applyFont="1" applyBorder="1" applyAlignment="1">
      <alignment horizontal="left" vertical="center" wrapText="1"/>
    </xf>
    <xf numFmtId="3" fontId="41" fillId="13" borderId="20" xfId="28" applyNumberFormat="1" applyFont="1" applyFill="1" applyBorder="1" applyAlignment="1">
      <alignment vertical="center" wrapText="1"/>
    </xf>
    <xf numFmtId="3" fontId="41" fillId="13" borderId="20" xfId="28" applyNumberFormat="1" applyFont="1" applyFill="1" applyBorder="1" applyAlignment="1">
      <alignment horizontal="center" vertical="center" wrapText="1"/>
    </xf>
    <xf numFmtId="3" fontId="38" fillId="2" borderId="20" xfId="29" applyNumberFormat="1" applyFont="1" applyFill="1" applyBorder="1" applyAlignment="1">
      <alignment horizontal="left" vertical="center" wrapText="1"/>
    </xf>
    <xf numFmtId="3" fontId="38" fillId="0" borderId="20" xfId="36" applyNumberFormat="1" applyFont="1" applyBorder="1" applyAlignment="1">
      <alignment horizontal="center" vertical="center" wrapText="1"/>
    </xf>
    <xf numFmtId="3" fontId="38" fillId="0" borderId="20" xfId="36" applyNumberFormat="1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center" vertical="center" wrapText="1"/>
    </xf>
    <xf numFmtId="3" fontId="36" fillId="0" borderId="20" xfId="0" applyNumberFormat="1" applyFont="1" applyBorder="1" applyAlignment="1">
      <alignment vertical="center" wrapText="1"/>
    </xf>
    <xf numFmtId="3" fontId="36" fillId="0" borderId="20" xfId="32" applyNumberFormat="1" applyFont="1" applyBorder="1" applyAlignment="1">
      <alignment horizontal="center" vertical="center" wrapText="1"/>
    </xf>
    <xf numFmtId="3" fontId="36" fillId="0" borderId="20" xfId="0" applyNumberFormat="1" applyFont="1" applyBorder="1" applyAlignment="1">
      <alignment horizontal="left" vertical="center" wrapText="1"/>
    </xf>
    <xf numFmtId="3" fontId="36" fillId="2" borderId="20" xfId="32" applyNumberFormat="1" applyFont="1" applyFill="1" applyBorder="1" applyAlignment="1">
      <alignment horizontal="center" vertical="center" wrapText="1"/>
    </xf>
    <xf numFmtId="3" fontId="36" fillId="0" borderId="20" xfId="62" applyNumberFormat="1" applyFont="1" applyBorder="1" applyAlignment="1">
      <alignment horizontal="left" vertical="center" wrapText="1"/>
    </xf>
    <xf numFmtId="3" fontId="36" fillId="2" borderId="20" xfId="0" applyNumberFormat="1" applyFont="1" applyFill="1" applyBorder="1" applyAlignment="1">
      <alignment vertical="center" wrapText="1"/>
    </xf>
    <xf numFmtId="3" fontId="40" fillId="2" borderId="20" xfId="0" applyNumberFormat="1" applyFont="1" applyFill="1" applyBorder="1" applyAlignment="1">
      <alignment vertical="top" wrapText="1"/>
    </xf>
    <xf numFmtId="3" fontId="40" fillId="2" borderId="20" xfId="0" applyNumberFormat="1" applyFont="1" applyFill="1" applyBorder="1" applyAlignment="1">
      <alignment horizontal="center" vertical="top" wrapText="1"/>
    </xf>
    <xf numFmtId="3" fontId="38" fillId="2" borderId="20" xfId="29" applyNumberFormat="1" applyFont="1" applyFill="1" applyBorder="1" applyAlignment="1">
      <alignment vertical="center" wrapText="1"/>
    </xf>
    <xf numFmtId="3" fontId="38" fillId="0" borderId="20" xfId="0" applyNumberFormat="1" applyFont="1" applyBorder="1" applyAlignment="1">
      <alignment horizontal="center" vertical="center" wrapText="1"/>
    </xf>
    <xf numFmtId="3" fontId="40" fillId="0" borderId="20" xfId="36" applyNumberFormat="1" applyFont="1" applyBorder="1" applyAlignment="1">
      <alignment horizontal="center" vertical="center"/>
    </xf>
    <xf numFmtId="3" fontId="40" fillId="0" borderId="20" xfId="29" applyNumberFormat="1" applyFont="1" applyBorder="1" applyAlignment="1">
      <alignment horizontal="center" vertical="center"/>
    </xf>
    <xf numFmtId="3" fontId="43" fillId="0" borderId="20" xfId="29" applyNumberFormat="1" applyFont="1" applyBorder="1" applyAlignment="1">
      <alignment horizontal="center" vertical="center" wrapText="1"/>
    </xf>
    <xf numFmtId="3" fontId="101" fillId="0" borderId="20" xfId="29" applyNumberFormat="1" applyFont="1" applyBorder="1" applyAlignment="1">
      <alignment horizontal="center" vertical="center" wrapText="1"/>
    </xf>
    <xf numFmtId="3" fontId="38" fillId="0" borderId="20" xfId="29" applyNumberFormat="1" applyFont="1" applyBorder="1" applyAlignment="1">
      <alignment horizontal="left" vertical="center" wrapText="1"/>
    </xf>
    <xf numFmtId="3" fontId="0" fillId="0" borderId="0" xfId="0" applyNumberFormat="1"/>
    <xf numFmtId="0" fontId="99" fillId="0" borderId="26" xfId="28" applyFont="1" applyBorder="1" applyAlignment="1">
      <alignment horizontal="center" vertical="center"/>
    </xf>
    <xf numFmtId="0" fontId="99" fillId="0" borderId="26" xfId="28" applyFont="1" applyBorder="1"/>
    <xf numFmtId="0" fontId="100" fillId="7" borderId="26" xfId="28" applyFont="1" applyFill="1" applyBorder="1"/>
    <xf numFmtId="0" fontId="43" fillId="14" borderId="26" xfId="28" applyFont="1" applyFill="1" applyBorder="1" applyAlignment="1">
      <alignment horizontal="center" vertical="center" wrapText="1"/>
    </xf>
    <xf numFmtId="3" fontId="100" fillId="2" borderId="26" xfId="28" applyNumberFormat="1" applyFont="1" applyFill="1" applyBorder="1"/>
    <xf numFmtId="3" fontId="41" fillId="13" borderId="20" xfId="28" applyNumberFormat="1" applyFont="1" applyFill="1" applyBorder="1" applyAlignment="1">
      <alignment horizontal="right" vertical="center" wrapText="1"/>
    </xf>
    <xf numFmtId="3" fontId="41" fillId="0" borderId="20" xfId="62" applyNumberFormat="1" applyFont="1" applyBorder="1" applyAlignment="1">
      <alignment horizontal="center" vertical="center" wrapText="1"/>
    </xf>
    <xf numFmtId="3" fontId="41" fillId="0" borderId="20" xfId="0" applyNumberFormat="1" applyFont="1" applyBorder="1" applyAlignment="1">
      <alignment horizontal="center" vertical="center" wrapText="1"/>
    </xf>
    <xf numFmtId="3" fontId="41" fillId="0" borderId="20" xfId="29" applyNumberFormat="1" applyFont="1" applyBorder="1" applyAlignment="1">
      <alignment horizontal="center" vertical="center" wrapText="1"/>
    </xf>
    <xf numFmtId="3" fontId="41" fillId="0" borderId="20" xfId="36" applyNumberFormat="1" applyFont="1" applyBorder="1" applyAlignment="1">
      <alignment horizontal="center" vertical="center" wrapText="1"/>
    </xf>
    <xf numFmtId="3" fontId="43" fillId="13" borderId="20" xfId="36" applyNumberFormat="1" applyFont="1" applyFill="1" applyBorder="1" applyAlignment="1">
      <alignment vertical="center"/>
    </xf>
    <xf numFmtId="3" fontId="41" fillId="13" borderId="20" xfId="36" applyNumberFormat="1" applyFont="1" applyFill="1" applyBorder="1" applyAlignment="1">
      <alignment vertical="center" wrapText="1"/>
    </xf>
    <xf numFmtId="3" fontId="102" fillId="0" borderId="0" xfId="0" applyNumberFormat="1" applyFont="1"/>
    <xf numFmtId="0" fontId="102" fillId="0" borderId="0" xfId="0" applyFont="1"/>
    <xf numFmtId="3" fontId="39" fillId="16" borderId="24" xfId="28" applyNumberFormat="1" applyFont="1" applyFill="1" applyBorder="1"/>
    <xf numFmtId="3" fontId="39" fillId="16" borderId="20" xfId="28" applyNumberFormat="1" applyFont="1" applyFill="1" applyBorder="1"/>
    <xf numFmtId="3" fontId="41" fillId="2" borderId="20" xfId="36" applyNumberFormat="1" applyFont="1" applyFill="1" applyBorder="1" applyAlignment="1">
      <alignment vertical="center" wrapText="1"/>
    </xf>
    <xf numFmtId="3" fontId="0" fillId="2" borderId="0" xfId="0" applyNumberFormat="1" applyFill="1"/>
    <xf numFmtId="0" fontId="102" fillId="2" borderId="0" xfId="0" applyFont="1" applyFill="1"/>
    <xf numFmtId="0" fontId="0" fillId="2" borderId="0" xfId="0" applyFill="1"/>
    <xf numFmtId="3" fontId="41" fillId="2" borderId="20" xfId="36" applyNumberFormat="1" applyFont="1" applyFill="1" applyBorder="1" applyAlignment="1">
      <alignment horizontal="right" vertical="center" wrapText="1"/>
    </xf>
    <xf numFmtId="0" fontId="7" fillId="2" borderId="20" xfId="17" applyFont="1" applyFill="1" applyBorder="1" applyAlignment="1">
      <alignment horizontal="center"/>
    </xf>
    <xf numFmtId="0" fontId="4" fillId="0" borderId="20" xfId="18" applyFont="1" applyBorder="1" applyAlignment="1">
      <alignment horizontal="center" vertical="center" wrapText="1"/>
    </xf>
    <xf numFmtId="0" fontId="4" fillId="0" borderId="20" xfId="19" applyFont="1" applyBorder="1" applyAlignment="1">
      <alignment horizontal="left" vertical="center" wrapText="1"/>
    </xf>
    <xf numFmtId="0" fontId="4" fillId="0" borderId="20" xfId="19" applyFont="1" applyBorder="1" applyAlignment="1">
      <alignment horizontal="center" vertical="center" wrapText="1"/>
    </xf>
    <xf numFmtId="3" fontId="4" fillId="0" borderId="20" xfId="63" applyNumberFormat="1" applyFont="1" applyFill="1" applyBorder="1" applyAlignment="1">
      <alignment horizontal="center" vertical="center" wrapText="1"/>
    </xf>
    <xf numFmtId="0" fontId="7" fillId="0" borderId="20" xfId="17" applyFont="1" applyBorder="1" applyAlignment="1">
      <alignment horizontal="right"/>
    </xf>
    <xf numFmtId="0" fontId="7" fillId="0" borderId="20" xfId="17" applyFont="1" applyBorder="1" applyAlignment="1">
      <alignment horizontal="left"/>
    </xf>
    <xf numFmtId="0" fontId="7" fillId="0" borderId="20" xfId="17" applyFont="1" applyBorder="1" applyAlignment="1">
      <alignment horizontal="center"/>
    </xf>
    <xf numFmtId="3" fontId="7" fillId="0" borderId="20" xfId="63" applyNumberFormat="1" applyFont="1" applyFill="1" applyBorder="1" applyAlignment="1">
      <alignment horizontal="center" vertical="center"/>
    </xf>
    <xf numFmtId="3" fontId="69" fillId="2" borderId="20" xfId="63" applyNumberFormat="1" applyFont="1" applyFill="1" applyBorder="1" applyAlignment="1">
      <alignment horizontal="center" vertical="center" wrapText="1"/>
    </xf>
    <xf numFmtId="165" fontId="69" fillId="2" borderId="20" xfId="63" applyFont="1" applyFill="1" applyBorder="1" applyAlignment="1">
      <alignment horizontal="center" vertical="center" wrapText="1"/>
    </xf>
    <xf numFmtId="0" fontId="4" fillId="2" borderId="20" xfId="18" applyFont="1" applyFill="1" applyBorder="1" applyAlignment="1">
      <alignment horizontal="center" vertical="center" wrapText="1"/>
    </xf>
    <xf numFmtId="3" fontId="4" fillId="2" borderId="20" xfId="19" applyNumberFormat="1" applyFont="1" applyFill="1" applyBorder="1" applyAlignment="1">
      <alignment horizontal="center" vertical="center"/>
    </xf>
    <xf numFmtId="171" fontId="4" fillId="2" borderId="20" xfId="63" applyNumberFormat="1" applyFont="1" applyFill="1" applyBorder="1" applyAlignment="1">
      <alignment horizontal="center" vertical="center" wrapText="1"/>
    </xf>
    <xf numFmtId="3" fontId="7" fillId="2" borderId="20" xfId="63" applyNumberFormat="1" applyFont="1" applyFill="1" applyBorder="1" applyAlignment="1">
      <alignment horizontal="center" vertical="center"/>
    </xf>
    <xf numFmtId="171" fontId="7" fillId="2" borderId="20" xfId="63" applyNumberFormat="1" applyFont="1" applyFill="1" applyBorder="1" applyAlignment="1">
      <alignment horizontal="center" wrapText="1"/>
    </xf>
    <xf numFmtId="171" fontId="7" fillId="2" borderId="0" xfId="63" applyNumberFormat="1" applyFont="1" applyFill="1" applyBorder="1" applyAlignment="1">
      <alignment horizontal="center" wrapText="1"/>
    </xf>
    <xf numFmtId="3" fontId="7" fillId="2" borderId="0" xfId="17" applyNumberFormat="1" applyFont="1" applyFill="1" applyAlignment="1">
      <alignment horizontal="center" vertical="center"/>
    </xf>
    <xf numFmtId="0" fontId="2" fillId="0" borderId="0" xfId="17" applyFont="1" applyAlignment="1">
      <alignment horizontal="left" vertical="center" wrapText="1"/>
    </xf>
    <xf numFmtId="0" fontId="2" fillId="0" borderId="0" xfId="17" applyFont="1" applyAlignment="1">
      <alignment horizontal="center" vertical="center" wrapText="1"/>
    </xf>
    <xf numFmtId="0" fontId="2" fillId="0" borderId="0" xfId="17" applyFont="1" applyAlignment="1">
      <alignment horizontal="left" vertical="center"/>
    </xf>
    <xf numFmtId="0" fontId="2" fillId="0" borderId="0" xfId="17" applyFont="1" applyAlignment="1">
      <alignment horizontal="center" vertical="center"/>
    </xf>
    <xf numFmtId="3" fontId="4" fillId="2" borderId="0" xfId="63" applyNumberFormat="1" applyFont="1" applyFill="1" applyAlignment="1">
      <alignment horizontal="center" vertical="center"/>
    </xf>
    <xf numFmtId="165" fontId="4" fillId="2" borderId="0" xfId="63" applyFont="1" applyFill="1" applyAlignment="1">
      <alignment horizontal="center"/>
    </xf>
    <xf numFmtId="0" fontId="7" fillId="0" borderId="23" xfId="17" applyFont="1" applyBorder="1" applyAlignment="1">
      <alignment horizontal="center"/>
    </xf>
    <xf numFmtId="0" fontId="7" fillId="0" borderId="24" xfId="17" applyFont="1" applyBorder="1" applyAlignment="1">
      <alignment horizontal="center"/>
    </xf>
    <xf numFmtId="0" fontId="4" fillId="0" borderId="26" xfId="17" applyFont="1" applyBorder="1" applyAlignment="1">
      <alignment horizontal="right"/>
    </xf>
    <xf numFmtId="171" fontId="4" fillId="2" borderId="20" xfId="63" applyNumberFormat="1" applyFont="1" applyFill="1" applyBorder="1" applyAlignment="1">
      <alignment horizontal="center" vertical="center"/>
    </xf>
    <xf numFmtId="171" fontId="7" fillId="0" borderId="20" xfId="63" applyNumberFormat="1" applyFont="1" applyFill="1" applyBorder="1" applyAlignment="1">
      <alignment horizontal="center" wrapText="1"/>
    </xf>
    <xf numFmtId="3" fontId="99" fillId="0" borderId="0" xfId="28" applyNumberFormat="1" applyFont="1"/>
    <xf numFmtId="0" fontId="41" fillId="0" borderId="20" xfId="62" applyFont="1" applyBorder="1" applyAlignment="1">
      <alignment horizontal="center" vertical="center" wrapText="1"/>
    </xf>
    <xf numFmtId="0" fontId="41" fillId="0" borderId="20" xfId="62" applyFont="1" applyBorder="1" applyAlignment="1">
      <alignment horizontal="center" vertical="center" textRotation="90" wrapText="1"/>
    </xf>
    <xf numFmtId="3" fontId="41" fillId="13" borderId="20" xfId="62" applyNumberFormat="1" applyFont="1" applyFill="1" applyBorder="1" applyAlignment="1">
      <alignment horizontal="center" vertical="center" wrapText="1"/>
    </xf>
    <xf numFmtId="3" fontId="41" fillId="13" borderId="20" xfId="36" applyNumberFormat="1" applyFont="1" applyFill="1" applyBorder="1" applyAlignment="1">
      <alignment horizontal="center" vertical="center" wrapText="1"/>
    </xf>
    <xf numFmtId="3" fontId="43" fillId="13" borderId="20" xfId="36" applyNumberFormat="1" applyFont="1" applyFill="1" applyBorder="1" applyAlignment="1">
      <alignment horizontal="center" vertical="center" wrapText="1"/>
    </xf>
    <xf numFmtId="3" fontId="36" fillId="12" borderId="20" xfId="29" applyNumberFormat="1" applyFont="1" applyFill="1" applyBorder="1" applyAlignment="1">
      <alignment horizontal="center" vertical="center" wrapText="1"/>
    </xf>
    <xf numFmtId="3" fontId="36" fillId="12" borderId="20" xfId="62" applyNumberFormat="1" applyFont="1" applyFill="1" applyBorder="1" applyAlignment="1">
      <alignment horizontal="center" vertical="center"/>
    </xf>
    <xf numFmtId="3" fontId="41" fillId="12" borderId="20" xfId="36" applyNumberFormat="1" applyFont="1" applyFill="1" applyBorder="1" applyAlignment="1">
      <alignment vertical="center" wrapText="1"/>
    </xf>
    <xf numFmtId="3" fontId="40" fillId="12" borderId="20" xfId="36" applyNumberFormat="1" applyFont="1" applyFill="1" applyBorder="1" applyAlignment="1">
      <alignment horizontal="center" vertical="center"/>
    </xf>
    <xf numFmtId="3" fontId="39" fillId="12" borderId="24" xfId="28" applyNumberFormat="1" applyFont="1" applyFill="1" applyBorder="1"/>
    <xf numFmtId="3" fontId="0" fillId="12" borderId="0" xfId="0" applyNumberFormat="1" applyFill="1"/>
    <xf numFmtId="0" fontId="102" fillId="12" borderId="0" xfId="0" applyFont="1" applyFill="1"/>
    <xf numFmtId="0" fontId="0" fillId="12" borderId="0" xfId="0" applyFill="1"/>
    <xf numFmtId="0" fontId="41" fillId="12" borderId="20" xfId="62" applyFont="1" applyFill="1" applyBorder="1" applyAlignment="1">
      <alignment horizontal="center" vertical="center" textRotation="90" wrapText="1"/>
    </xf>
    <xf numFmtId="3" fontId="38" fillId="12" borderId="20" xfId="0" applyNumberFormat="1" applyFont="1" applyFill="1" applyBorder="1" applyAlignment="1">
      <alignment horizontal="center" vertical="center" wrapText="1"/>
    </xf>
    <xf numFmtId="3" fontId="36" fillId="12" borderId="20" xfId="62" applyNumberFormat="1" applyFont="1" applyFill="1" applyBorder="1" applyAlignment="1">
      <alignment horizontal="center" vertical="center" wrapText="1"/>
    </xf>
    <xf numFmtId="3" fontId="41" fillId="12" borderId="20" xfId="36" applyNumberFormat="1" applyFont="1" applyFill="1" applyBorder="1" applyAlignment="1">
      <alignment horizontal="right" vertical="center" wrapText="1"/>
    </xf>
    <xf numFmtId="3" fontId="40" fillId="12" borderId="20" xfId="29" applyNumberFormat="1" applyFont="1" applyFill="1" applyBorder="1" applyAlignment="1">
      <alignment horizontal="center" vertical="center"/>
    </xf>
    <xf numFmtId="3" fontId="41" fillId="2" borderId="20" xfId="28" applyNumberFormat="1" applyFont="1" applyFill="1" applyBorder="1" applyAlignment="1">
      <alignment horizontal="right" vertical="center" wrapText="1"/>
    </xf>
    <xf numFmtId="3" fontId="43" fillId="2" borderId="20" xfId="36" applyNumberFormat="1" applyFont="1" applyFill="1" applyBorder="1" applyAlignment="1">
      <alignment horizontal="center" vertical="center" wrapText="1"/>
    </xf>
    <xf numFmtId="3" fontId="41" fillId="2" borderId="20" xfId="62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3" fontId="36" fillId="2" borderId="20" xfId="6" applyNumberFormat="1" applyFont="1" applyFill="1" applyBorder="1" applyAlignment="1">
      <alignment horizontal="center" vertical="center" wrapText="1"/>
    </xf>
    <xf numFmtId="3" fontId="39" fillId="2" borderId="20" xfId="28" applyNumberFormat="1" applyFont="1" applyFill="1" applyBorder="1"/>
    <xf numFmtId="0" fontId="10" fillId="2" borderId="0" xfId="14" applyFont="1" applyFill="1" applyAlignment="1">
      <alignment horizontal="right" vertical="center"/>
    </xf>
    <xf numFmtId="167" fontId="2" fillId="2" borderId="0" xfId="14" applyNumberFormat="1" applyFont="1" applyFill="1" applyAlignment="1">
      <alignment horizontal="right" vertical="center"/>
    </xf>
    <xf numFmtId="49" fontId="34" fillId="0" borderId="0" xfId="6" applyNumberFormat="1" applyFont="1" applyAlignment="1">
      <alignment horizontal="center" vertical="center" wrapText="1"/>
    </xf>
    <xf numFmtId="49" fontId="34" fillId="0" borderId="0" xfId="6" applyNumberFormat="1" applyFont="1" applyAlignment="1">
      <alignment horizontal="center" vertical="center"/>
    </xf>
    <xf numFmtId="0" fontId="2" fillId="0" borderId="0" xfId="15" applyFont="1" applyAlignment="1">
      <alignment horizontal="center" vertical="center"/>
    </xf>
    <xf numFmtId="0" fontId="2" fillId="2" borderId="0" xfId="14" applyFont="1" applyFill="1" applyAlignment="1">
      <alignment horizontal="right"/>
    </xf>
    <xf numFmtId="3" fontId="2" fillId="2" borderId="0" xfId="14" applyNumberFormat="1" applyFont="1" applyFill="1" applyAlignment="1">
      <alignment horizontal="right"/>
    </xf>
    <xf numFmtId="0" fontId="2" fillId="2" borderId="46" xfId="14" applyFont="1" applyFill="1" applyBorder="1" applyAlignment="1">
      <alignment horizontal="right"/>
    </xf>
    <xf numFmtId="0" fontId="2" fillId="0" borderId="0" xfId="14" applyFont="1" applyAlignment="1">
      <alignment vertical="center" wrapText="1"/>
    </xf>
    <xf numFmtId="0" fontId="87" fillId="0" borderId="0" xfId="14" applyFont="1" applyAlignment="1">
      <alignment vertical="center" wrapText="1"/>
    </xf>
    <xf numFmtId="0" fontId="103" fillId="0" borderId="0" xfId="0" applyFont="1"/>
    <xf numFmtId="0" fontId="41" fillId="0" borderId="55" xfId="28" applyFont="1" applyBorder="1" applyAlignment="1">
      <alignment horizontal="center" vertical="center" wrapText="1"/>
    </xf>
    <xf numFmtId="0" fontId="41" fillId="0" borderId="55" xfId="28" applyFont="1" applyBorder="1" applyAlignment="1">
      <alignment horizontal="center" vertical="center" textRotation="90" wrapText="1"/>
    </xf>
    <xf numFmtId="3" fontId="41" fillId="0" borderId="55" xfId="28" applyNumberFormat="1" applyFont="1" applyBorder="1" applyAlignment="1">
      <alignment horizontal="center" vertical="center" wrapText="1"/>
    </xf>
    <xf numFmtId="0" fontId="41" fillId="2" borderId="55" xfId="28" applyFont="1" applyFill="1" applyBorder="1" applyAlignment="1">
      <alignment horizontal="center" vertical="center" wrapText="1"/>
    </xf>
    <xf numFmtId="49" fontId="104" fillId="2" borderId="20" xfId="29" applyNumberFormat="1" applyFont="1" applyFill="1" applyBorder="1" applyAlignment="1">
      <alignment horizontal="left" vertical="center" wrapText="1"/>
    </xf>
    <xf numFmtId="0" fontId="98" fillId="12" borderId="22" xfId="0" applyFont="1" applyFill="1" applyBorder="1" applyAlignment="1">
      <alignment vertical="center" wrapText="1"/>
    </xf>
    <xf numFmtId="0" fontId="98" fillId="2" borderId="22" xfId="0" applyFont="1" applyFill="1" applyBorder="1" applyAlignment="1">
      <alignment vertical="center" wrapText="1"/>
    </xf>
    <xf numFmtId="0" fontId="105" fillId="2" borderId="20" xfId="0" applyFont="1" applyFill="1" applyBorder="1" applyAlignment="1">
      <alignment vertical="center" wrapText="1"/>
    </xf>
    <xf numFmtId="0" fontId="106" fillId="7" borderId="20" xfId="28" applyFont="1" applyFill="1" applyBorder="1"/>
    <xf numFmtId="0" fontId="106" fillId="12" borderId="0" xfId="36" applyFont="1" applyFill="1"/>
    <xf numFmtId="0" fontId="108" fillId="12" borderId="0" xfId="28" applyFont="1" applyFill="1"/>
    <xf numFmtId="0" fontId="108" fillId="0" borderId="0" xfId="28" applyFont="1"/>
    <xf numFmtId="0" fontId="106" fillId="2" borderId="0" xfId="28" applyFont="1" applyFill="1"/>
    <xf numFmtId="0" fontId="106" fillId="8" borderId="0" xfId="28" applyFont="1" applyFill="1"/>
    <xf numFmtId="0" fontId="61" fillId="0" borderId="0" xfId="6" applyFont="1" applyAlignment="1">
      <alignment horizontal="center"/>
    </xf>
    <xf numFmtId="0" fontId="62" fillId="0" borderId="0" xfId="55" applyFont="1" applyAlignment="1">
      <alignment horizontal="center"/>
    </xf>
    <xf numFmtId="0" fontId="14" fillId="0" borderId="0" xfId="0" applyFont="1"/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89" fillId="0" borderId="48" xfId="0" applyFont="1" applyBorder="1" applyAlignment="1">
      <alignment horizontal="center" vertical="justify" wrapText="1"/>
    </xf>
    <xf numFmtId="0" fontId="89" fillId="0" borderId="48" xfId="0" applyFont="1" applyBorder="1" applyAlignment="1">
      <alignment horizontal="left"/>
    </xf>
    <xf numFmtId="0" fontId="88" fillId="0" borderId="49" xfId="0" applyFont="1" applyBorder="1"/>
    <xf numFmtId="0" fontId="90" fillId="0" borderId="48" xfId="0" applyFont="1" applyBorder="1" applyAlignment="1">
      <alignment horizontal="left" vertical="top"/>
    </xf>
    <xf numFmtId="0" fontId="89" fillId="0" borderId="48" xfId="0" applyFont="1" applyBorder="1" applyAlignment="1">
      <alignment horizontal="left" vertical="top"/>
    </xf>
    <xf numFmtId="3" fontId="88" fillId="0" borderId="44" xfId="0" applyNumberFormat="1" applyFont="1" applyBorder="1" applyAlignment="1">
      <alignment horizontal="right"/>
    </xf>
    <xf numFmtId="3" fontId="88" fillId="0" borderId="49" xfId="0" applyNumberFormat="1" applyFont="1" applyBorder="1" applyAlignment="1">
      <alignment horizontal="right"/>
    </xf>
    <xf numFmtId="0" fontId="88" fillId="0" borderId="48" xfId="0" applyFont="1" applyBorder="1" applyAlignment="1">
      <alignment wrapText="1"/>
    </xf>
    <xf numFmtId="0" fontId="89" fillId="0" borderId="48" xfId="0" applyFont="1" applyBorder="1" applyAlignment="1">
      <alignment horizontal="left" wrapText="1"/>
    </xf>
    <xf numFmtId="0" fontId="89" fillId="0" borderId="48" xfId="0" applyFont="1" applyBorder="1" applyAlignment="1">
      <alignment horizontal="left" vertical="center" wrapText="1"/>
    </xf>
    <xf numFmtId="0" fontId="89" fillId="0" borderId="48" xfId="0" applyFont="1" applyBorder="1" applyAlignment="1">
      <alignment horizontal="left" vertical="top" wrapText="1"/>
    </xf>
    <xf numFmtId="0" fontId="88" fillId="0" borderId="48" xfId="0" applyFont="1" applyBorder="1" applyAlignment="1">
      <alignment horizontal="justify" vertical="top" wrapText="1"/>
    </xf>
    <xf numFmtId="0" fontId="89" fillId="0" borderId="51" xfId="0" applyFont="1" applyBorder="1" applyAlignment="1">
      <alignment horizontal="left" wrapText="1"/>
    </xf>
    <xf numFmtId="3" fontId="88" fillId="0" borderId="54" xfId="0" applyNumberFormat="1" applyFont="1" applyBorder="1" applyAlignment="1">
      <alignment horizontal="right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/>
    </xf>
    <xf numFmtId="3" fontId="62" fillId="2" borderId="20" xfId="0" applyNumberFormat="1" applyFont="1" applyFill="1" applyBorder="1" applyAlignment="1">
      <alignment horizontal="center"/>
    </xf>
    <xf numFmtId="178" fontId="62" fillId="0" borderId="20" xfId="0" applyNumberFormat="1" applyFont="1" applyBorder="1" applyAlignment="1">
      <alignment horizontal="center"/>
    </xf>
    <xf numFmtId="3" fontId="62" fillId="0" borderId="20" xfId="0" applyNumberFormat="1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20" xfId="0" applyFont="1" applyBorder="1"/>
    <xf numFmtId="3" fontId="62" fillId="0" borderId="20" xfId="0" applyNumberFormat="1" applyFont="1" applyBorder="1"/>
    <xf numFmtId="178" fontId="62" fillId="0" borderId="20" xfId="0" applyNumberFormat="1" applyFont="1" applyBorder="1"/>
    <xf numFmtId="4" fontId="62" fillId="0" borderId="20" xfId="0" applyNumberFormat="1" applyFont="1" applyBorder="1"/>
    <xf numFmtId="0" fontId="28" fillId="0" borderId="0" xfId="0" applyFont="1"/>
    <xf numFmtId="0" fontId="61" fillId="0" borderId="0" xfId="0" applyFont="1"/>
    <xf numFmtId="3" fontId="4" fillId="0" borderId="0" xfId="0" applyNumberFormat="1" applyFont="1" applyAlignment="1">
      <alignment horizontal="center"/>
    </xf>
    <xf numFmtId="174" fontId="62" fillId="0" borderId="0" xfId="0" applyNumberFormat="1" applyFont="1" applyAlignment="1">
      <alignment horizontal="center"/>
    </xf>
    <xf numFmtId="0" fontId="16" fillId="2" borderId="20" xfId="7" applyFont="1" applyFill="1" applyBorder="1" applyAlignment="1">
      <alignment horizontal="center" vertical="center" wrapText="1"/>
    </xf>
    <xf numFmtId="0" fontId="16" fillId="2" borderId="20" xfId="6" applyFont="1" applyFill="1" applyBorder="1" applyAlignment="1">
      <alignment vertical="center" wrapText="1"/>
    </xf>
    <xf numFmtId="0" fontId="16" fillId="2" borderId="20" xfId="7" applyFont="1" applyFill="1" applyBorder="1" applyAlignment="1">
      <alignment vertical="center" wrapText="1"/>
    </xf>
    <xf numFmtId="2" fontId="16" fillId="2" borderId="20" xfId="6" applyNumberFormat="1" applyFont="1" applyFill="1" applyBorder="1" applyAlignment="1">
      <alignment horizontal="center" vertical="center" wrapText="1"/>
    </xf>
    <xf numFmtId="3" fontId="16" fillId="2" borderId="20" xfId="10" applyNumberFormat="1" applyFont="1" applyFill="1" applyBorder="1" applyAlignment="1">
      <alignment horizontal="center" vertical="center" wrapText="1"/>
    </xf>
    <xf numFmtId="4" fontId="16" fillId="2" borderId="20" xfId="7" applyNumberFormat="1" applyFont="1" applyFill="1" applyBorder="1" applyAlignment="1">
      <alignment horizontal="center" vertical="center" wrapText="1"/>
    </xf>
    <xf numFmtId="2" fontId="16" fillId="2" borderId="20" xfId="7" applyNumberFormat="1" applyFont="1" applyFill="1" applyBorder="1" applyAlignment="1">
      <alignment horizontal="center" vertical="center" wrapText="1"/>
    </xf>
    <xf numFmtId="3" fontId="16" fillId="2" borderId="20" xfId="6" applyNumberFormat="1" applyFont="1" applyFill="1" applyBorder="1" applyAlignment="1">
      <alignment horizontal="center" vertical="center" wrapText="1"/>
    </xf>
    <xf numFmtId="3" fontId="16" fillId="2" borderId="20" xfId="7" applyNumberFormat="1" applyFont="1" applyFill="1" applyBorder="1" applyAlignment="1">
      <alignment horizontal="center" vertical="center" wrapText="1"/>
    </xf>
    <xf numFmtId="3" fontId="16" fillId="2" borderId="20" xfId="8" applyNumberFormat="1" applyFont="1" applyFill="1" applyBorder="1" applyAlignment="1">
      <alignment horizontal="center" vertical="center" wrapText="1"/>
    </xf>
    <xf numFmtId="16" fontId="16" fillId="2" borderId="20" xfId="7" applyNumberFormat="1" applyFont="1" applyFill="1" applyBorder="1" applyAlignment="1">
      <alignment horizontal="center" vertical="center" wrapText="1"/>
    </xf>
    <xf numFmtId="3" fontId="18" fillId="2" borderId="20" xfId="8" applyNumberFormat="1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 wrapText="1"/>
    </xf>
    <xf numFmtId="0" fontId="18" fillId="2" borderId="20" xfId="7" applyFont="1" applyFill="1" applyBorder="1" applyAlignment="1">
      <alignment vertical="center" wrapText="1"/>
    </xf>
    <xf numFmtId="3" fontId="18" fillId="2" borderId="20" xfId="7" applyNumberFormat="1" applyFont="1" applyFill="1" applyBorder="1" applyAlignment="1">
      <alignment horizontal="center" vertical="center" wrapText="1"/>
    </xf>
    <xf numFmtId="0" fontId="18" fillId="2" borderId="20" xfId="7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vertical="center"/>
    </xf>
    <xf numFmtId="0" fontId="16" fillId="2" borderId="20" xfId="7" applyFont="1" applyFill="1" applyBorder="1" applyAlignment="1">
      <alignment vertical="center"/>
    </xf>
    <xf numFmtId="0" fontId="16" fillId="2" borderId="20" xfId="7" applyFont="1" applyFill="1" applyBorder="1" applyAlignment="1">
      <alignment vertical="top" wrapText="1"/>
    </xf>
    <xf numFmtId="2" fontId="16" fillId="2" borderId="20" xfId="61" applyNumberFormat="1" applyFont="1" applyFill="1" applyBorder="1" applyAlignment="1">
      <alignment vertical="center" wrapText="1"/>
    </xf>
    <xf numFmtId="0" fontId="67" fillId="2" borderId="20" xfId="7" applyFont="1" applyFill="1" applyBorder="1" applyAlignment="1">
      <alignment vertical="center" wrapText="1"/>
    </xf>
    <xf numFmtId="0" fontId="67" fillId="2" borderId="20" xfId="61" applyFont="1" applyFill="1" applyBorder="1" applyAlignment="1">
      <alignment vertical="center" wrapText="1"/>
    </xf>
    <xf numFmtId="3" fontId="16" fillId="2" borderId="20" xfId="9" applyNumberFormat="1" applyFont="1" applyFill="1" applyBorder="1" applyAlignment="1">
      <alignment horizontal="center" vertical="center" wrapText="1"/>
    </xf>
    <xf numFmtId="0" fontId="67" fillId="2" borderId="20" xfId="0" applyFont="1" applyFill="1" applyBorder="1" applyAlignment="1">
      <alignment vertical="center" wrapText="1"/>
    </xf>
    <xf numFmtId="0" fontId="16" fillId="2" borderId="20" xfId="9" applyFont="1" applyFill="1" applyBorder="1" applyAlignment="1">
      <alignment horizontal="center" vertical="center" wrapText="1"/>
    </xf>
    <xf numFmtId="1" fontId="16" fillId="2" borderId="20" xfId="9" applyNumberFormat="1" applyFont="1" applyFill="1" applyBorder="1" applyAlignment="1">
      <alignment vertical="center" wrapText="1"/>
    </xf>
    <xf numFmtId="2" fontId="16" fillId="2" borderId="20" xfId="7" applyNumberFormat="1" applyFont="1" applyFill="1" applyBorder="1" applyAlignment="1">
      <alignment vertical="center" wrapText="1"/>
    </xf>
    <xf numFmtId="2" fontId="16" fillId="2" borderId="20" xfId="9" applyNumberFormat="1" applyFont="1" applyFill="1" applyBorder="1" applyAlignment="1">
      <alignment horizontal="center" vertical="center" wrapText="1"/>
    </xf>
    <xf numFmtId="3" fontId="16" fillId="2" borderId="20" xfId="11" applyNumberFormat="1" applyFont="1" applyFill="1" applyBorder="1" applyAlignment="1">
      <alignment horizontal="center" vertical="center" wrapText="1"/>
    </xf>
    <xf numFmtId="3" fontId="16" fillId="2" borderId="20" xfId="7" applyNumberFormat="1" applyFont="1" applyFill="1" applyBorder="1" applyAlignment="1">
      <alignment vertical="center" wrapText="1"/>
    </xf>
    <xf numFmtId="2" fontId="67" fillId="2" borderId="20" xfId="7" applyNumberFormat="1" applyFont="1" applyFill="1" applyBorder="1" applyAlignment="1">
      <alignment vertical="center" wrapText="1"/>
    </xf>
    <xf numFmtId="0" fontId="67" fillId="2" borderId="20" xfId="0" applyFont="1" applyFill="1" applyBorder="1" applyAlignment="1">
      <alignment vertical="center"/>
    </xf>
    <xf numFmtId="2" fontId="16" fillId="2" borderId="20" xfId="12" applyNumberFormat="1" applyFont="1" applyFill="1" applyBorder="1" applyAlignment="1">
      <alignment horizontal="center" vertical="center"/>
    </xf>
    <xf numFmtId="1" fontId="16" fillId="2" borderId="20" xfId="9" applyNumberFormat="1" applyFont="1" applyFill="1" applyBorder="1" applyAlignment="1">
      <alignment horizontal="center" vertical="center" wrapText="1"/>
    </xf>
    <xf numFmtId="1" fontId="16" fillId="2" borderId="20" xfId="9" applyNumberFormat="1" applyFont="1" applyFill="1" applyBorder="1" applyAlignment="1">
      <alignment horizontal="center" vertical="center"/>
    </xf>
    <xf numFmtId="0" fontId="16" fillId="2" borderId="20" xfId="12" applyFont="1" applyFill="1" applyBorder="1" applyAlignment="1">
      <alignment horizontal="center" vertical="center"/>
    </xf>
    <xf numFmtId="0" fontId="16" fillId="2" borderId="20" xfId="12" applyFont="1" applyFill="1" applyBorder="1" applyAlignment="1">
      <alignment vertical="center" wrapText="1"/>
    </xf>
    <xf numFmtId="3" fontId="16" fillId="2" borderId="20" xfId="12" applyNumberFormat="1" applyFont="1" applyFill="1" applyBorder="1" applyAlignment="1">
      <alignment horizontal="center" vertical="center"/>
    </xf>
    <xf numFmtId="0" fontId="18" fillId="2" borderId="20" xfId="9" applyFont="1" applyFill="1" applyBorder="1" applyAlignment="1">
      <alignment vertical="center"/>
    </xf>
    <xf numFmtId="0" fontId="18" fillId="2" borderId="20" xfId="9" applyFont="1" applyFill="1" applyBorder="1" applyAlignment="1">
      <alignment horizontal="center" vertical="center"/>
    </xf>
    <xf numFmtId="167" fontId="18" fillId="2" borderId="20" xfId="9" applyNumberFormat="1" applyFont="1" applyFill="1" applyBorder="1" applyAlignment="1">
      <alignment horizontal="center" vertical="center"/>
    </xf>
    <xf numFmtId="0" fontId="16" fillId="2" borderId="20" xfId="9" applyFont="1" applyFill="1" applyBorder="1" applyAlignment="1">
      <alignment horizontal="center" vertical="center"/>
    </xf>
    <xf numFmtId="3" fontId="18" fillId="2" borderId="20" xfId="9" applyNumberFormat="1" applyFont="1" applyFill="1" applyBorder="1" applyAlignment="1">
      <alignment horizontal="center" vertical="center"/>
    </xf>
    <xf numFmtId="0" fontId="16" fillId="2" borderId="20" xfId="6" applyFont="1" applyFill="1" applyBorder="1" applyAlignment="1">
      <alignment horizontal="center" vertical="center" wrapText="1"/>
    </xf>
    <xf numFmtId="0" fontId="67" fillId="2" borderId="0" xfId="0" applyFont="1" applyFill="1" applyAlignment="1">
      <alignment vertical="center"/>
    </xf>
    <xf numFmtId="0" fontId="67" fillId="2" borderId="20" xfId="6" applyFont="1" applyFill="1" applyBorder="1" applyAlignment="1">
      <alignment vertical="center" wrapText="1"/>
    </xf>
    <xf numFmtId="0" fontId="67" fillId="2" borderId="20" xfId="0" applyFont="1" applyFill="1" applyBorder="1" applyAlignment="1">
      <alignment vertical="top" wrapText="1"/>
    </xf>
    <xf numFmtId="0" fontId="18" fillId="2" borderId="20" xfId="6" applyFont="1" applyFill="1" applyBorder="1" applyAlignment="1">
      <alignment horizontal="center" vertical="center" wrapText="1"/>
    </xf>
    <xf numFmtId="3" fontId="18" fillId="2" borderId="20" xfId="10" applyNumberFormat="1" applyFont="1" applyFill="1" applyBorder="1" applyAlignment="1">
      <alignment horizontal="center" vertical="center" wrapText="1"/>
    </xf>
    <xf numFmtId="1" fontId="16" fillId="2" borderId="20" xfId="10" applyNumberFormat="1" applyFont="1" applyFill="1" applyBorder="1" applyAlignment="1">
      <alignment horizontal="center" vertical="center" wrapText="1"/>
    </xf>
    <xf numFmtId="0" fontId="18" fillId="2" borderId="20" xfId="6" applyFont="1" applyFill="1" applyBorder="1" applyAlignment="1">
      <alignment vertical="center" wrapText="1"/>
    </xf>
    <xf numFmtId="1" fontId="16" fillId="2" borderId="20" xfId="6" applyNumberFormat="1" applyFont="1" applyFill="1" applyBorder="1" applyAlignment="1">
      <alignment horizontal="center" vertical="center" wrapText="1"/>
    </xf>
    <xf numFmtId="0" fontId="16" fillId="2" borderId="0" xfId="7" applyFont="1" applyFill="1" applyAlignment="1">
      <alignment vertical="center" wrapText="1"/>
    </xf>
    <xf numFmtId="1" fontId="18" fillId="2" borderId="20" xfId="10" applyNumberFormat="1" applyFont="1" applyFill="1" applyBorder="1" applyAlignment="1">
      <alignment horizontal="center" vertical="center" wrapText="1"/>
    </xf>
    <xf numFmtId="3" fontId="18" fillId="2" borderId="20" xfId="6" applyNumberFormat="1" applyFont="1" applyFill="1" applyBorder="1" applyAlignment="1">
      <alignment horizontal="center" vertical="center" wrapText="1"/>
    </xf>
    <xf numFmtId="2" fontId="16" fillId="2" borderId="20" xfId="6" applyNumberFormat="1" applyFont="1" applyFill="1" applyBorder="1" applyAlignment="1">
      <alignment vertical="center" wrapText="1"/>
    </xf>
    <xf numFmtId="0" fontId="18" fillId="2" borderId="20" xfId="6" applyFont="1" applyFill="1" applyBorder="1" applyAlignment="1">
      <alignment horizontal="center" vertical="center"/>
    </xf>
    <xf numFmtId="1" fontId="18" fillId="2" borderId="20" xfId="6" applyNumberFormat="1" applyFont="1" applyFill="1" applyBorder="1" applyAlignment="1">
      <alignment horizontal="center" vertical="center" wrapText="1"/>
    </xf>
    <xf numFmtId="0" fontId="64" fillId="0" borderId="0" xfId="0" applyFont="1" applyAlignment="1"/>
    <xf numFmtId="3" fontId="2" fillId="2" borderId="20" xfId="6" applyNumberFormat="1" applyFont="1" applyFill="1" applyBorder="1" applyAlignment="1">
      <alignment horizontal="center" vertical="center"/>
    </xf>
    <xf numFmtId="184" fontId="10" fillId="2" borderId="0" xfId="15" applyNumberFormat="1" applyFont="1" applyFill="1"/>
    <xf numFmtId="184" fontId="2" fillId="0" borderId="0" xfId="15" applyNumberFormat="1" applyFont="1"/>
    <xf numFmtId="0" fontId="18" fillId="2" borderId="0" xfId="7" applyFont="1" applyFill="1" applyAlignment="1">
      <alignment vertical="center" wrapText="1"/>
    </xf>
    <xf numFmtId="4" fontId="16" fillId="2" borderId="0" xfId="7" applyNumberFormat="1" applyFont="1" applyFill="1" applyAlignment="1">
      <alignment vertical="center" wrapText="1"/>
    </xf>
    <xf numFmtId="0" fontId="18" fillId="2" borderId="0" xfId="7" applyFont="1" applyFill="1" applyAlignment="1">
      <alignment vertical="center"/>
    </xf>
    <xf numFmtId="3" fontId="16" fillId="2" borderId="0" xfId="9" applyNumberFormat="1" applyFont="1" applyFill="1" applyAlignment="1">
      <alignment vertical="center" wrapText="1"/>
    </xf>
    <xf numFmtId="4" fontId="18" fillId="2" borderId="0" xfId="9" applyNumberFormat="1" applyFont="1" applyFill="1" applyAlignment="1">
      <alignment vertical="center" wrapText="1"/>
    </xf>
    <xf numFmtId="0" fontId="18" fillId="2" borderId="0" xfId="9" applyFont="1" applyFill="1" applyAlignment="1">
      <alignment vertical="center" wrapText="1"/>
    </xf>
    <xf numFmtId="0" fontId="16" fillId="2" borderId="0" xfId="9" applyFont="1" applyFill="1" applyAlignment="1">
      <alignment vertical="center" wrapText="1"/>
    </xf>
    <xf numFmtId="3" fontId="16" fillId="2" borderId="0" xfId="7" applyNumberFormat="1" applyFont="1" applyFill="1" applyAlignment="1">
      <alignment vertical="center" wrapText="1"/>
    </xf>
    <xf numFmtId="4" fontId="18" fillId="2" borderId="0" xfId="7" applyNumberFormat="1" applyFont="1" applyFill="1" applyAlignment="1">
      <alignment vertical="center" wrapText="1"/>
    </xf>
    <xf numFmtId="3" fontId="18" fillId="2" borderId="0" xfId="7" applyNumberFormat="1" applyFont="1" applyFill="1" applyAlignment="1">
      <alignment vertical="center" wrapText="1"/>
    </xf>
    <xf numFmtId="3" fontId="18" fillId="2" borderId="0" xfId="8" applyNumberFormat="1" applyFont="1" applyFill="1" applyBorder="1" applyAlignment="1">
      <alignment vertical="center" wrapText="1"/>
    </xf>
    <xf numFmtId="0" fontId="18" fillId="2" borderId="0" xfId="6" applyFont="1" applyFill="1" applyAlignment="1">
      <alignment vertical="center" wrapText="1"/>
    </xf>
    <xf numFmtId="0" fontId="16" fillId="2" borderId="0" xfId="6" applyFont="1" applyFill="1" applyAlignment="1">
      <alignment vertical="center" wrapText="1"/>
    </xf>
    <xf numFmtId="0" fontId="18" fillId="2" borderId="0" xfId="7" applyFont="1" applyFill="1" applyAlignment="1">
      <alignment horizontal="center" vertical="center" wrapText="1"/>
    </xf>
    <xf numFmtId="4" fontId="18" fillId="2" borderId="0" xfId="7" applyNumberFormat="1" applyFont="1" applyFill="1" applyAlignment="1">
      <alignment horizontal="center" vertical="center" wrapText="1"/>
    </xf>
    <xf numFmtId="2" fontId="16" fillId="2" borderId="0" xfId="7" applyNumberFormat="1" applyFont="1" applyFill="1" applyAlignment="1">
      <alignment horizontal="center" vertical="center"/>
    </xf>
    <xf numFmtId="0" fontId="16" fillId="2" borderId="19" xfId="7" applyFont="1" applyFill="1" applyBorder="1" applyAlignment="1">
      <alignment horizontal="center" vertical="center" wrapText="1"/>
    </xf>
    <xf numFmtId="0" fontId="16" fillId="2" borderId="19" xfId="7" applyFont="1" applyFill="1" applyBorder="1" applyAlignment="1">
      <alignment vertical="center" wrapText="1"/>
    </xf>
    <xf numFmtId="0" fontId="18" fillId="2" borderId="19" xfId="7" applyFont="1" applyFill="1" applyBorder="1" applyAlignment="1">
      <alignment horizontal="right" wrapText="1"/>
    </xf>
    <xf numFmtId="2" fontId="16" fillId="2" borderId="0" xfId="7" applyNumberFormat="1" applyFont="1" applyFill="1" applyAlignment="1">
      <alignment vertical="center"/>
    </xf>
    <xf numFmtId="0" fontId="18" fillId="2" borderId="21" xfId="7" applyFont="1" applyFill="1" applyBorder="1" applyAlignment="1">
      <alignment horizontal="center" vertical="center" wrapText="1"/>
    </xf>
    <xf numFmtId="3" fontId="18" fillId="2" borderId="21" xfId="8" applyNumberFormat="1" applyFont="1" applyFill="1" applyBorder="1" applyAlignment="1">
      <alignment horizontal="center" vertical="center" wrapText="1"/>
    </xf>
    <xf numFmtId="3" fontId="18" fillId="2" borderId="21" xfId="7" applyNumberFormat="1" applyFont="1" applyFill="1" applyBorder="1" applyAlignment="1">
      <alignment horizontal="center" vertical="center" wrapText="1"/>
    </xf>
    <xf numFmtId="0" fontId="16" fillId="2" borderId="0" xfId="7" applyFont="1" applyFill="1" applyAlignment="1">
      <alignment vertical="center"/>
    </xf>
    <xf numFmtId="1" fontId="18" fillId="2" borderId="20" xfId="8" applyNumberFormat="1" applyFont="1" applyFill="1" applyBorder="1" applyAlignment="1">
      <alignment horizontal="center" vertical="center" wrapText="1"/>
    </xf>
    <xf numFmtId="0" fontId="18" fillId="2" borderId="20" xfId="8" applyNumberFormat="1" applyFont="1" applyFill="1" applyBorder="1" applyAlignment="1">
      <alignment horizontal="center" vertical="center" wrapText="1"/>
    </xf>
    <xf numFmtId="3" fontId="18" fillId="2" borderId="0" xfId="9" applyNumberFormat="1" applyFont="1" applyFill="1" applyAlignment="1">
      <alignment vertical="center" wrapText="1"/>
    </xf>
    <xf numFmtId="3" fontId="18" fillId="2" borderId="0" xfId="9" applyNumberFormat="1" applyFont="1" applyFill="1"/>
    <xf numFmtId="167" fontId="16" fillId="2" borderId="20" xfId="8" applyNumberFormat="1" applyFont="1" applyFill="1" applyBorder="1" applyAlignment="1">
      <alignment horizontal="center" vertical="center" wrapText="1"/>
    </xf>
    <xf numFmtId="3" fontId="18" fillId="2" borderId="0" xfId="10" applyNumberFormat="1" applyFont="1" applyFill="1" applyBorder="1" applyAlignment="1">
      <alignment vertical="center" wrapText="1"/>
    </xf>
    <xf numFmtId="3" fontId="18" fillId="2" borderId="20" xfId="7" applyNumberFormat="1" applyFont="1" applyFill="1" applyBorder="1" applyAlignment="1">
      <alignment vertical="center" wrapText="1"/>
    </xf>
    <xf numFmtId="167" fontId="18" fillId="2" borderId="20" xfId="8" applyNumberFormat="1" applyFont="1" applyFill="1" applyBorder="1" applyAlignment="1">
      <alignment horizontal="center" vertical="center" wrapText="1"/>
    </xf>
    <xf numFmtId="4" fontId="18" fillId="2" borderId="0" xfId="8" applyNumberFormat="1" applyFont="1" applyFill="1" applyBorder="1" applyAlignment="1">
      <alignment vertical="center" wrapText="1"/>
    </xf>
    <xf numFmtId="0" fontId="16" fillId="2" borderId="0" xfId="6" applyFont="1" applyFill="1"/>
    <xf numFmtId="3" fontId="18" fillId="2" borderId="0" xfId="7" applyNumberFormat="1" applyFont="1" applyFill="1" applyAlignment="1">
      <alignment horizontal="center" vertical="center" wrapText="1"/>
    </xf>
    <xf numFmtId="167" fontId="18" fillId="2" borderId="0" xfId="8" applyNumberFormat="1" applyFont="1" applyFill="1" applyBorder="1" applyAlignment="1">
      <alignment horizontal="center" vertical="center" wrapText="1"/>
    </xf>
    <xf numFmtId="166" fontId="18" fillId="2" borderId="0" xfId="8" applyNumberFormat="1" applyFont="1" applyFill="1" applyBorder="1" applyAlignment="1">
      <alignment horizontal="center" vertical="center" wrapText="1"/>
    </xf>
    <xf numFmtId="3" fontId="18" fillId="2" borderId="0" xfId="8" applyNumberFormat="1" applyFont="1" applyFill="1" applyBorder="1" applyAlignment="1">
      <alignment horizontal="center" vertical="center" wrapText="1"/>
    </xf>
    <xf numFmtId="4" fontId="18" fillId="2" borderId="0" xfId="8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13" applyFont="1" applyFill="1"/>
    <xf numFmtId="0" fontId="18" fillId="2" borderId="0" xfId="0" applyFont="1" applyFill="1" applyAlignment="1">
      <alignment horizontal="center"/>
    </xf>
    <xf numFmtId="0" fontId="16" fillId="2" borderId="0" xfId="6" applyFont="1" applyFill="1" applyAlignment="1">
      <alignment horizontal="center"/>
    </xf>
    <xf numFmtId="1" fontId="16" fillId="2" borderId="0" xfId="6" applyNumberFormat="1" applyFont="1" applyFill="1"/>
    <xf numFmtId="0" fontId="16" fillId="2" borderId="0" xfId="7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167" fontId="18" fillId="2" borderId="0" xfId="0" applyNumberFormat="1" applyFont="1" applyFill="1" applyAlignment="1">
      <alignment vertical="center" wrapText="1"/>
    </xf>
    <xf numFmtId="3" fontId="16" fillId="2" borderId="0" xfId="8" applyNumberFormat="1" applyFont="1" applyFill="1" applyBorder="1" applyAlignment="1">
      <alignment horizontal="center" vertical="center" wrapText="1"/>
    </xf>
    <xf numFmtId="3" fontId="16" fillId="2" borderId="0" xfId="8" applyNumberFormat="1" applyFont="1" applyFill="1" applyBorder="1" applyAlignment="1">
      <alignment vertical="center" wrapText="1"/>
    </xf>
    <xf numFmtId="4" fontId="16" fillId="2" borderId="0" xfId="6" applyNumberFormat="1" applyFont="1" applyFill="1"/>
    <xf numFmtId="167" fontId="16" fillId="2" borderId="0" xfId="6" applyNumberFormat="1" applyFont="1" applyFill="1" applyAlignment="1">
      <alignment horizontal="center"/>
    </xf>
    <xf numFmtId="0" fontId="16" fillId="2" borderId="0" xfId="6" applyFont="1" applyFill="1" applyAlignment="1">
      <alignment horizontal="center" wrapText="1"/>
    </xf>
    <xf numFmtId="3" fontId="16" fillId="2" borderId="0" xfId="6" applyNumberFormat="1" applyFont="1" applyFill="1"/>
    <xf numFmtId="3" fontId="16" fillId="2" borderId="0" xfId="6" applyNumberFormat="1" applyFont="1" applyFill="1" applyAlignment="1">
      <alignment horizontal="center"/>
    </xf>
    <xf numFmtId="1" fontId="16" fillId="2" borderId="0" xfId="10" applyNumberFormat="1" applyFont="1" applyFill="1" applyBorder="1" applyAlignment="1">
      <alignment horizontal="center" vertical="center" wrapText="1"/>
    </xf>
    <xf numFmtId="2" fontId="16" fillId="2" borderId="0" xfId="10" applyNumberFormat="1" applyFont="1" applyFill="1" applyBorder="1" applyAlignment="1">
      <alignment horizontal="center" vertical="center" wrapText="1"/>
    </xf>
    <xf numFmtId="1" fontId="16" fillId="2" borderId="0" xfId="10" applyNumberFormat="1" applyFont="1" applyFill="1" applyBorder="1" applyAlignment="1">
      <alignment vertical="center" wrapText="1"/>
    </xf>
    <xf numFmtId="2" fontId="16" fillId="2" borderId="0" xfId="6" applyNumberFormat="1" applyFont="1" applyFill="1" applyAlignment="1">
      <alignment horizontal="center"/>
    </xf>
    <xf numFmtId="1" fontId="18" fillId="2" borderId="0" xfId="10" applyNumberFormat="1" applyFont="1" applyFill="1" applyBorder="1" applyAlignment="1">
      <alignment horizontal="center" vertical="center" wrapText="1"/>
    </xf>
    <xf numFmtId="168" fontId="10" fillId="0" borderId="0" xfId="6" applyNumberFormat="1" applyFont="1"/>
    <xf numFmtId="0" fontId="16" fillId="0" borderId="0" xfId="16" applyFont="1" applyAlignment="1">
      <alignment horizontal="left" vertical="center"/>
    </xf>
    <xf numFmtId="0" fontId="16" fillId="0" borderId="0" xfId="0" applyFont="1" applyAlignment="1">
      <alignment wrapText="1"/>
    </xf>
    <xf numFmtId="0" fontId="18" fillId="2" borderId="0" xfId="0" applyFont="1" applyFill="1" applyAlignment="1">
      <alignment wrapText="1"/>
    </xf>
    <xf numFmtId="3" fontId="16" fillId="0" borderId="0" xfId="16" applyNumberFormat="1" applyFont="1" applyAlignment="1">
      <alignment horizontal="right" vertical="center"/>
    </xf>
    <xf numFmtId="182" fontId="16" fillId="0" borderId="0" xfId="16" applyNumberFormat="1" applyFont="1" applyAlignment="1">
      <alignment horizontal="left" vertical="center"/>
    </xf>
    <xf numFmtId="183" fontId="16" fillId="0" borderId="0" xfId="16" applyNumberFormat="1" applyFont="1" applyAlignment="1">
      <alignment horizontal="left" vertical="center"/>
    </xf>
    <xf numFmtId="0" fontId="16" fillId="0" borderId="0" xfId="15" applyFont="1"/>
    <xf numFmtId="3" fontId="16" fillId="0" borderId="0" xfId="15" applyNumberFormat="1" applyFont="1"/>
    <xf numFmtId="0" fontId="16" fillId="0" borderId="0" xfId="16" applyFont="1" applyAlignment="1">
      <alignment horizontal="center" vertical="center"/>
    </xf>
    <xf numFmtId="0" fontId="16" fillId="0" borderId="0" xfId="16" applyFont="1" applyAlignment="1">
      <alignment horizontal="left" vertical="top"/>
    </xf>
    <xf numFmtId="3" fontId="2" fillId="0" borderId="0" xfId="16" applyNumberFormat="1" applyFont="1" applyAlignment="1">
      <alignment horizontal="right" vertical="center"/>
    </xf>
    <xf numFmtId="0" fontId="10" fillId="0" borderId="0" xfId="16" applyFont="1" applyAlignment="1">
      <alignment horizontal="left" vertical="center"/>
    </xf>
    <xf numFmtId="0" fontId="7" fillId="0" borderId="20" xfId="55" applyFont="1" applyBorder="1" applyAlignment="1">
      <alignment horizontal="center" vertical="center" wrapText="1"/>
    </xf>
    <xf numFmtId="0" fontId="4" fillId="0" borderId="20" xfId="55" applyFont="1" applyBorder="1" applyAlignment="1">
      <alignment horizontal="center" vertical="center"/>
    </xf>
    <xf numFmtId="0" fontId="70" fillId="0" borderId="20" xfId="55" applyFont="1" applyBorder="1" applyAlignment="1">
      <alignment horizontal="center" vertical="center" wrapText="1"/>
    </xf>
    <xf numFmtId="0" fontId="4" fillId="0" borderId="20" xfId="55" applyFont="1" applyBorder="1" applyAlignment="1">
      <alignment horizontal="center" vertical="center" wrapText="1"/>
    </xf>
    <xf numFmtId="171" fontId="16" fillId="0" borderId="0" xfId="16" applyNumberFormat="1" applyFont="1" applyAlignment="1">
      <alignment horizontal="left" vertical="center"/>
    </xf>
    <xf numFmtId="4" fontId="10" fillId="2" borderId="0" xfId="15" applyNumberFormat="1" applyFont="1" applyFill="1"/>
    <xf numFmtId="3" fontId="10" fillId="2" borderId="0" xfId="15" applyNumberFormat="1" applyFont="1" applyFill="1"/>
    <xf numFmtId="168" fontId="2" fillId="2" borderId="20" xfId="15" applyNumberFormat="1" applyFont="1" applyFill="1" applyBorder="1"/>
    <xf numFmtId="0" fontId="7" fillId="0" borderId="19" xfId="17" applyFont="1" applyBorder="1" applyAlignment="1">
      <alignment horizontal="center"/>
    </xf>
    <xf numFmtId="0" fontId="4" fillId="0" borderId="29" xfId="17" applyFont="1" applyBorder="1" applyAlignment="1">
      <alignment horizontal="right"/>
    </xf>
    <xf numFmtId="0" fontId="7" fillId="0" borderId="30" xfId="17" applyFont="1" applyBorder="1" applyAlignment="1">
      <alignment horizontal="center"/>
    </xf>
    <xf numFmtId="0" fontId="10" fillId="0" borderId="20" xfId="6" applyFont="1" applyBorder="1"/>
    <xf numFmtId="0" fontId="87" fillId="0" borderId="20" xfId="6" applyFont="1" applyBorder="1"/>
    <xf numFmtId="168" fontId="10" fillId="0" borderId="20" xfId="6" applyNumberFormat="1" applyFont="1" applyBorder="1"/>
    <xf numFmtId="0" fontId="2" fillId="0" borderId="41" xfId="14" applyFont="1" applyBorder="1" applyAlignment="1">
      <alignment horizontal="center" vertical="center" wrapText="1"/>
    </xf>
    <xf numFmtId="0" fontId="69" fillId="11" borderId="42" xfId="0" applyFont="1" applyFill="1" applyBorder="1" applyAlignment="1">
      <alignment horizontal="center" vertical="center" wrapText="1"/>
    </xf>
    <xf numFmtId="0" fontId="69" fillId="11" borderId="43" xfId="0" applyFont="1" applyFill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/>
    </xf>
    <xf numFmtId="167" fontId="64" fillId="0" borderId="0" xfId="0" applyNumberFormat="1" applyFont="1"/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4" fillId="2" borderId="20" xfId="6" applyFont="1" applyFill="1" applyBorder="1" applyAlignment="1">
      <alignment horizontal="center" vertical="center"/>
    </xf>
    <xf numFmtId="0" fontId="4" fillId="2" borderId="20" xfId="6" applyFont="1" applyFill="1" applyBorder="1" applyAlignment="1">
      <alignment horizontal="left" vertical="center" wrapText="1"/>
    </xf>
    <xf numFmtId="4" fontId="10" fillId="2" borderId="0" xfId="6" applyNumberFormat="1" applyFont="1" applyFill="1" applyAlignment="1">
      <alignment vertical="center"/>
    </xf>
    <xf numFmtId="0" fontId="10" fillId="2" borderId="0" xfId="6" applyFont="1" applyFill="1" applyAlignment="1">
      <alignment vertical="center"/>
    </xf>
    <xf numFmtId="3" fontId="10" fillId="2" borderId="20" xfId="6" applyNumberFormat="1" applyFont="1" applyFill="1" applyBorder="1" applyAlignment="1">
      <alignment horizontal="left" vertical="center" wrapText="1"/>
    </xf>
    <xf numFmtId="3" fontId="12" fillId="2" borderId="20" xfId="6" applyNumberFormat="1" applyFont="1" applyFill="1" applyBorder="1" applyAlignment="1">
      <alignment horizontal="center" vertical="center" wrapText="1"/>
    </xf>
    <xf numFmtId="3" fontId="10" fillId="2" borderId="20" xfId="6" applyNumberFormat="1" applyFont="1" applyFill="1" applyBorder="1" applyAlignment="1">
      <alignment horizontal="center" vertical="center" wrapText="1"/>
    </xf>
    <xf numFmtId="3" fontId="4" fillId="2" borderId="20" xfId="6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vertical="center"/>
    </xf>
    <xf numFmtId="49" fontId="10" fillId="2" borderId="20" xfId="25" applyNumberFormat="1" applyFont="1" applyFill="1" applyBorder="1" applyAlignment="1">
      <alignment horizontal="center" vertical="center" wrapText="1"/>
    </xf>
    <xf numFmtId="0" fontId="67" fillId="0" borderId="0" xfId="0" applyFont="1"/>
    <xf numFmtId="0" fontId="109" fillId="0" borderId="0" xfId="0" applyFont="1"/>
    <xf numFmtId="0" fontId="110" fillId="0" borderId="0" xfId="0" applyFont="1"/>
    <xf numFmtId="175" fontId="66" fillId="0" borderId="0" xfId="27" applyNumberFormat="1" applyFont="1" applyAlignment="1">
      <alignment vertical="center"/>
    </xf>
    <xf numFmtId="0" fontId="18" fillId="2" borderId="55" xfId="28" applyFont="1" applyFill="1" applyBorder="1" applyAlignment="1">
      <alignment horizontal="center" vertical="center" wrapText="1"/>
    </xf>
    <xf numFmtId="3" fontId="16" fillId="0" borderId="20" xfId="36" applyNumberFormat="1" applyFont="1" applyBorder="1" applyAlignment="1">
      <alignment horizontal="center" vertical="center" wrapText="1"/>
    </xf>
    <xf numFmtId="3" fontId="67" fillId="0" borderId="20" xfId="29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 wrapText="1"/>
    </xf>
    <xf numFmtId="3" fontId="111" fillId="0" borderId="20" xfId="29" applyNumberFormat="1" applyFont="1" applyBorder="1" applyAlignment="1">
      <alignment horizontal="center" vertical="center" wrapText="1"/>
    </xf>
    <xf numFmtId="3" fontId="67" fillId="0" borderId="20" xfId="36" applyNumberFormat="1" applyFont="1" applyBorder="1" applyAlignment="1">
      <alignment horizontal="center" vertical="center"/>
    </xf>
    <xf numFmtId="3" fontId="16" fillId="0" borderId="20" xfId="29" applyNumberFormat="1" applyFont="1" applyBorder="1" applyAlignment="1">
      <alignment horizontal="center"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3" fontId="111" fillId="2" borderId="20" xfId="29" applyNumberFormat="1" applyFont="1" applyFill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/>
    </xf>
    <xf numFmtId="3" fontId="67" fillId="0" borderId="20" xfId="29" applyNumberFormat="1" applyFont="1" applyBorder="1" applyAlignment="1">
      <alignment horizontal="center" vertical="center" wrapText="1"/>
    </xf>
    <xf numFmtId="3" fontId="16" fillId="2" borderId="20" xfId="62" applyNumberFormat="1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vertical="center" wrapText="1"/>
    </xf>
    <xf numFmtId="3" fontId="16" fillId="2" borderId="20" xfId="29" applyNumberFormat="1" applyFont="1" applyFill="1" applyBorder="1" applyAlignment="1">
      <alignment horizontal="center" vertical="center" wrapText="1"/>
    </xf>
    <xf numFmtId="3" fontId="16" fillId="2" borderId="20" xfId="36" applyNumberFormat="1" applyFont="1" applyFill="1" applyBorder="1" applyAlignment="1">
      <alignment horizontal="center" vertical="center" wrapText="1"/>
    </xf>
    <xf numFmtId="3" fontId="67" fillId="2" borderId="20" xfId="29" applyNumberFormat="1" applyFont="1" applyFill="1" applyBorder="1" applyAlignment="1">
      <alignment horizontal="center" vertical="center"/>
    </xf>
    <xf numFmtId="3" fontId="21" fillId="2" borderId="20" xfId="29" applyNumberFormat="1" applyFont="1" applyFill="1" applyBorder="1" applyAlignment="1">
      <alignment horizontal="center" vertical="center" wrapText="1"/>
    </xf>
    <xf numFmtId="3" fontId="18" fillId="2" borderId="20" xfId="36" applyNumberFormat="1" applyFont="1" applyFill="1" applyBorder="1" applyAlignment="1">
      <alignment horizontal="center" vertical="center" wrapText="1"/>
    </xf>
    <xf numFmtId="3" fontId="21" fillId="13" borderId="20" xfId="36" applyNumberFormat="1" applyFont="1" applyFill="1" applyBorder="1" applyAlignment="1">
      <alignment vertical="center"/>
    </xf>
    <xf numFmtId="3" fontId="18" fillId="13" borderId="20" xfId="36" applyNumberFormat="1" applyFont="1" applyFill="1" applyBorder="1" applyAlignment="1">
      <alignment vertical="center" wrapText="1"/>
    </xf>
    <xf numFmtId="3" fontId="18" fillId="13" borderId="20" xfId="36" applyNumberFormat="1" applyFont="1" applyFill="1" applyBorder="1" applyAlignment="1">
      <alignment horizontal="right" vertical="center" wrapText="1"/>
    </xf>
    <xf numFmtId="3" fontId="21" fillId="13" borderId="20" xfId="36" applyNumberFormat="1" applyFont="1" applyFill="1" applyBorder="1" applyAlignment="1">
      <alignment horizontal="center" vertical="center" wrapText="1"/>
    </xf>
    <xf numFmtId="3" fontId="109" fillId="0" borderId="0" xfId="0" applyNumberFormat="1" applyFont="1"/>
    <xf numFmtId="3" fontId="111" fillId="0" borderId="20" xfId="29" applyNumberFormat="1" applyFont="1" applyBorder="1" applyAlignment="1">
      <alignment horizontal="left" vertical="center" wrapText="1"/>
    </xf>
    <xf numFmtId="3" fontId="16" fillId="0" borderId="20" xfId="36" applyNumberFormat="1" applyFont="1" applyBorder="1" applyAlignment="1">
      <alignment vertical="center" wrapText="1"/>
    </xf>
    <xf numFmtId="3" fontId="16" fillId="0" borderId="20" xfId="62" applyNumberFormat="1" applyFont="1" applyBorder="1" applyAlignment="1">
      <alignment horizontal="center" vertical="center" wrapText="1"/>
    </xf>
    <xf numFmtId="3" fontId="67" fillId="0" borderId="20" xfId="29" applyNumberFormat="1" applyFont="1" applyBorder="1" applyAlignment="1">
      <alignment horizontal="left" vertical="center" wrapText="1"/>
    </xf>
    <xf numFmtId="3" fontId="21" fillId="17" borderId="20" xfId="29" applyNumberFormat="1" applyFont="1" applyFill="1" applyBorder="1" applyAlignment="1">
      <alignment horizontal="left" vertical="center" wrapText="1"/>
    </xf>
    <xf numFmtId="3" fontId="18" fillId="15" borderId="20" xfId="36" applyNumberFormat="1" applyFont="1" applyFill="1" applyBorder="1" applyAlignment="1">
      <alignment vertical="center" wrapText="1"/>
    </xf>
    <xf numFmtId="3" fontId="67" fillId="0" borderId="20" xfId="0" applyNumberFormat="1" applyFont="1" applyBorder="1" applyAlignment="1">
      <alignment horizontal="center" vertical="top" wrapText="1"/>
    </xf>
    <xf numFmtId="3" fontId="67" fillId="0" borderId="20" xfId="0" applyNumberFormat="1" applyFont="1" applyBorder="1" applyAlignment="1">
      <alignment vertical="top" wrapText="1"/>
    </xf>
    <xf numFmtId="3" fontId="18" fillId="12" borderId="20" xfId="36" applyNumberFormat="1" applyFont="1" applyFill="1" applyBorder="1" applyAlignment="1">
      <alignment vertical="center" wrapText="1"/>
    </xf>
    <xf numFmtId="49" fontId="21" fillId="17" borderId="20" xfId="29" applyNumberFormat="1" applyFont="1" applyFill="1" applyBorder="1" applyAlignment="1">
      <alignment horizontal="left" vertical="center" wrapText="1"/>
    </xf>
    <xf numFmtId="3" fontId="111" fillId="2" borderId="20" xfId="0" applyNumberFormat="1" applyFont="1" applyFill="1" applyBorder="1" applyAlignment="1">
      <alignment horizontal="center" vertical="center" wrapText="1"/>
    </xf>
    <xf numFmtId="49" fontId="111" fillId="0" borderId="20" xfId="29" applyNumberFormat="1" applyFont="1" applyBorder="1" applyAlignment="1">
      <alignment horizontal="left" vertical="center" wrapText="1"/>
    </xf>
    <xf numFmtId="3" fontId="111" fillId="0" borderId="20" xfId="0" applyNumberFormat="1" applyFont="1" applyBorder="1" applyAlignment="1">
      <alignment horizontal="center" vertical="center" wrapText="1"/>
    </xf>
    <xf numFmtId="0" fontId="18" fillId="17" borderId="22" xfId="0" applyFont="1" applyFill="1" applyBorder="1" applyAlignment="1">
      <alignment vertical="center" wrapText="1"/>
    </xf>
    <xf numFmtId="3" fontId="18" fillId="13" borderId="20" xfId="28" applyNumberFormat="1" applyFont="1" applyFill="1" applyBorder="1" applyAlignment="1">
      <alignment vertical="center" wrapText="1"/>
    </xf>
    <xf numFmtId="3" fontId="18" fillId="13" borderId="20" xfId="28" applyNumberFormat="1" applyFont="1" applyFill="1" applyBorder="1" applyAlignment="1">
      <alignment horizontal="right" vertical="center" wrapText="1"/>
    </xf>
    <xf numFmtId="3" fontId="21" fillId="13" borderId="20" xfId="28" applyNumberFormat="1" applyFont="1" applyFill="1" applyBorder="1" applyAlignment="1">
      <alignment horizontal="center" vertical="center" wrapText="1"/>
    </xf>
    <xf numFmtId="3" fontId="18" fillId="13" borderId="20" xfId="28" applyNumberFormat="1" applyFont="1" applyFill="1" applyBorder="1" applyAlignment="1">
      <alignment horizontal="center" vertical="center" wrapText="1"/>
    </xf>
    <xf numFmtId="3" fontId="111" fillId="0" borderId="20" xfId="36" applyNumberFormat="1" applyFont="1" applyBorder="1" applyAlignment="1">
      <alignment horizontal="center" vertical="center" wrapText="1"/>
    </xf>
    <xf numFmtId="3" fontId="16" fillId="0" borderId="20" xfId="62" applyNumberFormat="1" applyFont="1" applyBorder="1" applyAlignment="1">
      <alignment horizontal="center" vertical="center"/>
    </xf>
    <xf numFmtId="3" fontId="16" fillId="18" borderId="20" xfId="62" applyNumberFormat="1" applyFont="1" applyFill="1" applyBorder="1" applyAlignment="1">
      <alignment horizontal="center" vertical="center"/>
    </xf>
    <xf numFmtId="3" fontId="16" fillId="13" borderId="20" xfId="62" applyNumberFormat="1" applyFont="1" applyFill="1" applyBorder="1" applyAlignment="1">
      <alignment horizontal="center" vertical="center" wrapText="1"/>
    </xf>
    <xf numFmtId="3" fontId="18" fillId="13" borderId="20" xfId="62" applyNumberFormat="1" applyFont="1" applyFill="1" applyBorder="1" applyAlignment="1">
      <alignment horizontal="center" vertical="center" wrapText="1"/>
    </xf>
    <xf numFmtId="3" fontId="18" fillId="13" borderId="20" xfId="0" applyNumberFormat="1" applyFont="1" applyFill="1" applyBorder="1" applyAlignment="1">
      <alignment horizontal="center" vertical="center"/>
    </xf>
    <xf numFmtId="3" fontId="18" fillId="13" borderId="20" xfId="62" applyNumberFormat="1" applyFont="1" applyFill="1" applyBorder="1" applyAlignment="1">
      <alignment horizontal="center" vertical="center"/>
    </xf>
    <xf numFmtId="3" fontId="16" fillId="0" borderId="21" xfId="62" applyNumberFormat="1" applyFont="1" applyBorder="1" applyAlignment="1">
      <alignment horizontal="center" vertical="center" wrapText="1"/>
    </xf>
    <xf numFmtId="3" fontId="16" fillId="0" borderId="20" xfId="32" applyNumberFormat="1" applyFont="1" applyBorder="1" applyAlignment="1">
      <alignment horizontal="center" vertical="center" wrapText="1"/>
    </xf>
    <xf numFmtId="3" fontId="18" fillId="17" borderId="20" xfId="0" applyNumberFormat="1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top" wrapText="1"/>
    </xf>
    <xf numFmtId="3" fontId="66" fillId="16" borderId="24" xfId="28" applyNumberFormat="1" applyFont="1" applyFill="1" applyBorder="1"/>
    <xf numFmtId="3" fontId="66" fillId="16" borderId="20" xfId="28" applyNumberFormat="1" applyFont="1" applyFill="1" applyBorder="1"/>
    <xf numFmtId="0" fontId="30" fillId="0" borderId="20" xfId="6" applyFont="1" applyFill="1" applyBorder="1" applyAlignment="1">
      <alignment horizontal="center" vertical="center" wrapText="1"/>
    </xf>
    <xf numFmtId="0" fontId="30" fillId="0" borderId="20" xfId="6" applyFont="1" applyFill="1" applyBorder="1" applyAlignment="1">
      <alignment horizontal="center" wrapText="1"/>
    </xf>
    <xf numFmtId="3" fontId="31" fillId="0" borderId="20" xfId="6" applyNumberFormat="1" applyFont="1" applyFill="1" applyBorder="1" applyAlignment="1">
      <alignment horizontal="center"/>
    </xf>
    <xf numFmtId="0" fontId="70" fillId="0" borderId="20" xfId="0" applyFont="1" applyFill="1" applyBorder="1" applyAlignment="1">
      <alignment horizontal="right" vertical="top" wrapText="1"/>
    </xf>
    <xf numFmtId="0" fontId="10" fillId="0" borderId="20" xfId="15" applyFont="1" applyFill="1" applyBorder="1"/>
    <xf numFmtId="0" fontId="4" fillId="0" borderId="20" xfId="0" applyFont="1" applyFill="1" applyBorder="1"/>
    <xf numFmtId="168" fontId="10" fillId="0" borderId="20" xfId="15" applyNumberFormat="1" applyFont="1" applyFill="1" applyBorder="1"/>
    <xf numFmtId="3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180" fontId="16" fillId="0" borderId="0" xfId="16" applyNumberFormat="1" applyFont="1" applyAlignment="1">
      <alignment horizontal="left" vertical="center"/>
    </xf>
    <xf numFmtId="185" fontId="109" fillId="0" borderId="0" xfId="0" applyNumberFormat="1" applyFont="1"/>
    <xf numFmtId="0" fontId="10" fillId="0" borderId="0" xfId="14" applyFont="1" applyFill="1"/>
    <xf numFmtId="0" fontId="4" fillId="0" borderId="0" xfId="16" applyFont="1"/>
    <xf numFmtId="0" fontId="7" fillId="0" borderId="0" xfId="16" applyFont="1" applyAlignment="1">
      <alignment wrapText="1"/>
    </xf>
    <xf numFmtId="0" fontId="7" fillId="0" borderId="20" xfId="16" applyFont="1" applyBorder="1" applyAlignment="1">
      <alignment horizontal="center" vertical="center" wrapText="1"/>
    </xf>
    <xf numFmtId="0" fontId="29" fillId="0" borderId="20" xfId="16" applyFont="1" applyBorder="1" applyAlignment="1">
      <alignment horizontal="left" vertical="center" wrapText="1"/>
    </xf>
    <xf numFmtId="0" fontId="112" fillId="11" borderId="20" xfId="16" applyFont="1" applyFill="1" applyBorder="1" applyAlignment="1">
      <alignment horizontal="center" vertical="center" wrapText="1"/>
    </xf>
    <xf numFmtId="0" fontId="70" fillId="11" borderId="20" xfId="16" applyFont="1" applyFill="1" applyBorder="1" applyAlignment="1">
      <alignment vertical="center"/>
    </xf>
    <xf numFmtId="0" fontId="70" fillId="11" borderId="20" xfId="16" applyFont="1" applyFill="1" applyBorder="1" applyAlignment="1">
      <alignment vertical="center" wrapText="1"/>
    </xf>
    <xf numFmtId="0" fontId="7" fillId="0" borderId="20" xfId="16" applyFont="1" applyBorder="1" applyAlignment="1">
      <alignment vertical="center"/>
    </xf>
    <xf numFmtId="0" fontId="112" fillId="11" borderId="20" xfId="16" applyFont="1" applyFill="1" applyBorder="1" applyAlignment="1">
      <alignment vertical="top" wrapText="1"/>
    </xf>
    <xf numFmtId="0" fontId="70" fillId="11" borderId="20" xfId="16" applyFont="1" applyFill="1" applyBorder="1" applyAlignment="1">
      <alignment vertical="top" wrapText="1"/>
    </xf>
    <xf numFmtId="0" fontId="4" fillId="0" borderId="20" xfId="16" applyFont="1" applyBorder="1" applyAlignment="1">
      <alignment horizontal="center" vertical="center"/>
    </xf>
    <xf numFmtId="49" fontId="4" fillId="0" borderId="20" xfId="16" applyNumberFormat="1" applyFont="1" applyBorder="1" applyAlignment="1">
      <alignment horizontal="center" vertical="center"/>
    </xf>
    <xf numFmtId="0" fontId="4" fillId="0" borderId="20" xfId="16" applyFont="1" applyBorder="1"/>
    <xf numFmtId="0" fontId="112" fillId="11" borderId="20" xfId="16" applyFont="1" applyFill="1" applyBorder="1" applyAlignment="1">
      <alignment vertical="center" wrapText="1"/>
    </xf>
    <xf numFmtId="0" fontId="4" fillId="0" borderId="20" xfId="16" applyFont="1" applyBorder="1" applyAlignment="1">
      <alignment horizontal="center" vertical="center" wrapText="1"/>
    </xf>
    <xf numFmtId="0" fontId="4" fillId="11" borderId="20" xfId="16" applyFont="1" applyFill="1" applyBorder="1"/>
    <xf numFmtId="1" fontId="7" fillId="0" borderId="20" xfId="55" applyNumberFormat="1" applyFont="1" applyBorder="1" applyAlignment="1">
      <alignment horizontal="center" vertical="center"/>
    </xf>
    <xf numFmtId="3" fontId="7" fillId="0" borderId="0" xfId="16" applyNumberFormat="1" applyFont="1"/>
    <xf numFmtId="0" fontId="2" fillId="0" borderId="0" xfId="16" applyFont="1"/>
    <xf numFmtId="0" fontId="10" fillId="0" borderId="0" xfId="6" applyFont="1" applyAlignment="1">
      <alignment horizontal="center"/>
    </xf>
    <xf numFmtId="0" fontId="10" fillId="0" borderId="0" xfId="16" applyFont="1"/>
    <xf numFmtId="4" fontId="10" fillId="0" borderId="0" xfId="6" applyNumberFormat="1" applyFont="1"/>
    <xf numFmtId="0" fontId="61" fillId="0" borderId="0" xfId="6" applyFont="1" applyAlignment="1">
      <alignment horizontal="center"/>
    </xf>
    <xf numFmtId="3" fontId="18" fillId="13" borderId="20" xfId="36" applyNumberFormat="1" applyFont="1" applyFill="1" applyBorder="1" applyAlignment="1">
      <alignment horizontal="center" vertical="center" wrapText="1"/>
    </xf>
    <xf numFmtId="3" fontId="18" fillId="0" borderId="55" xfId="28" applyNumberFormat="1" applyFont="1" applyBorder="1" applyAlignment="1">
      <alignment horizontal="center" vertical="center" wrapText="1"/>
    </xf>
    <xf numFmtId="0" fontId="18" fillId="0" borderId="55" xfId="28" applyFont="1" applyBorder="1" applyAlignment="1">
      <alignment horizontal="center" vertical="center" wrapText="1"/>
    </xf>
    <xf numFmtId="3" fontId="16" fillId="12" borderId="20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7" fillId="2" borderId="20" xfId="17" applyFont="1" applyFill="1" applyBorder="1" applyAlignment="1">
      <alignment horizontal="center"/>
    </xf>
    <xf numFmtId="0" fontId="4" fillId="2" borderId="0" xfId="17" applyFont="1" applyFill="1" applyBorder="1"/>
    <xf numFmtId="0" fontId="7" fillId="2" borderId="0" xfId="17" applyFont="1" applyFill="1" applyBorder="1" applyAlignment="1">
      <alignment horizontal="left"/>
    </xf>
    <xf numFmtId="0" fontId="7" fillId="2" borderId="0" xfId="17" applyFont="1" applyFill="1" applyBorder="1" applyAlignment="1">
      <alignment horizontal="center"/>
    </xf>
    <xf numFmtId="0" fontId="7" fillId="2" borderId="0" xfId="17" applyFont="1" applyFill="1" applyBorder="1" applyAlignment="1">
      <alignment horizontal="right"/>
    </xf>
    <xf numFmtId="3" fontId="7" fillId="2" borderId="0" xfId="63" applyNumberFormat="1" applyFont="1" applyFill="1" applyBorder="1" applyAlignment="1">
      <alignment horizontal="center" vertical="center"/>
    </xf>
    <xf numFmtId="167" fontId="73" fillId="0" borderId="0" xfId="6" applyNumberFormat="1" applyFont="1"/>
    <xf numFmtId="0" fontId="7" fillId="0" borderId="20" xfId="16" applyFont="1" applyBorder="1" applyAlignment="1">
      <alignment horizontal="center" vertical="center"/>
    </xf>
    <xf numFmtId="1" fontId="109" fillId="0" borderId="0" xfId="0" applyNumberFormat="1" applyFont="1"/>
    <xf numFmtId="3" fontId="18" fillId="0" borderId="55" xfId="28" applyNumberFormat="1" applyFont="1" applyBorder="1" applyAlignment="1">
      <alignment horizontal="center" vertical="center" wrapText="1"/>
    </xf>
    <xf numFmtId="3" fontId="18" fillId="13" borderId="20" xfId="36" applyNumberFormat="1" applyFont="1" applyFill="1" applyBorder="1" applyAlignment="1">
      <alignment horizontal="center" vertical="center" wrapText="1"/>
    </xf>
    <xf numFmtId="0" fontId="7" fillId="0" borderId="20" xfId="16" applyFont="1" applyBorder="1" applyAlignment="1">
      <alignment vertical="center" wrapText="1"/>
    </xf>
    <xf numFmtId="171" fontId="7" fillId="0" borderId="20" xfId="16" applyNumberFormat="1" applyFont="1" applyBorder="1" applyAlignment="1">
      <alignment horizontal="center" vertical="center" wrapText="1"/>
    </xf>
    <xf numFmtId="0" fontId="112" fillId="11" borderId="20" xfId="16" applyFont="1" applyFill="1" applyBorder="1" applyAlignment="1">
      <alignment horizontal="left" vertical="top" wrapText="1"/>
    </xf>
    <xf numFmtId="0" fontId="18" fillId="2" borderId="0" xfId="7" applyFont="1" applyFill="1" applyAlignment="1">
      <alignment horizontal="center" vertical="center" wrapText="1"/>
    </xf>
    <xf numFmtId="167" fontId="18" fillId="2" borderId="0" xfId="8" applyNumberFormat="1" applyFont="1" applyFill="1" applyBorder="1" applyAlignment="1">
      <alignment horizontal="center" vertical="center" wrapText="1"/>
    </xf>
    <xf numFmtId="49" fontId="2" fillId="0" borderId="0" xfId="6" applyNumberFormat="1" applyFont="1" applyAlignment="1">
      <alignment horizontal="center"/>
    </xf>
    <xf numFmtId="49" fontId="34" fillId="0" borderId="0" xfId="6" applyNumberFormat="1" applyFont="1" applyAlignment="1">
      <alignment horizontal="center" vertical="center"/>
    </xf>
    <xf numFmtId="0" fontId="18" fillId="2" borderId="0" xfId="6" applyFont="1" applyFill="1"/>
    <xf numFmtId="0" fontId="28" fillId="2" borderId="21" xfId="6" applyFont="1" applyFill="1" applyBorder="1" applyAlignment="1">
      <alignment horizontal="center" vertical="center" wrapText="1"/>
    </xf>
    <xf numFmtId="0" fontId="87" fillId="2" borderId="20" xfId="6" applyFont="1" applyFill="1" applyBorder="1" applyAlignment="1">
      <alignment horizontal="center" vertical="center"/>
    </xf>
    <xf numFmtId="0" fontId="10" fillId="2" borderId="20" xfId="6" applyFont="1" applyFill="1" applyBorder="1" applyAlignment="1">
      <alignment horizontal="center" vertical="center" wrapText="1"/>
    </xf>
    <xf numFmtId="0" fontId="10" fillId="2" borderId="20" xfId="6" applyFont="1" applyFill="1" applyBorder="1" applyAlignment="1">
      <alignment horizontal="center"/>
    </xf>
    <xf numFmtId="0" fontId="3" fillId="2" borderId="48" xfId="14" applyFont="1" applyFill="1" applyBorder="1" applyAlignment="1">
      <alignment horizontal="center" vertical="center" wrapText="1"/>
    </xf>
    <xf numFmtId="0" fontId="97" fillId="2" borderId="49" xfId="0" applyFont="1" applyFill="1" applyBorder="1" applyAlignment="1">
      <alignment horizontal="right" vertical="center" wrapText="1"/>
    </xf>
    <xf numFmtId="0" fontId="87" fillId="2" borderId="0" xfId="14" applyFont="1" applyFill="1" applyAlignment="1">
      <alignment horizontal="center"/>
    </xf>
    <xf numFmtId="0" fontId="10" fillId="2" borderId="48" xfId="14" applyFont="1" applyFill="1" applyBorder="1" applyAlignment="1">
      <alignment horizontal="center" vertical="center"/>
    </xf>
    <xf numFmtId="0" fontId="10" fillId="2" borderId="20" xfId="14" applyFont="1" applyFill="1" applyBorder="1" applyAlignment="1">
      <alignment horizontal="left" vertical="center"/>
    </xf>
    <xf numFmtId="3" fontId="10" fillId="2" borderId="20" xfId="21" applyNumberFormat="1" applyFont="1" applyFill="1" applyBorder="1" applyAlignment="1">
      <alignment horizontal="center"/>
    </xf>
    <xf numFmtId="2" fontId="10" fillId="2" borderId="20" xfId="21" applyNumberFormat="1" applyFont="1" applyFill="1" applyBorder="1" applyAlignment="1">
      <alignment horizontal="center"/>
    </xf>
    <xf numFmtId="3" fontId="10" fillId="2" borderId="20" xfId="14" applyNumberFormat="1" applyFont="1" applyFill="1" applyBorder="1" applyAlignment="1">
      <alignment horizontal="center"/>
    </xf>
    <xf numFmtId="0" fontId="10" fillId="2" borderId="20" xfId="14" applyFont="1" applyFill="1" applyBorder="1" applyAlignment="1">
      <alignment horizontal="center"/>
    </xf>
    <xf numFmtId="166" fontId="10" fillId="2" borderId="49" xfId="14" applyNumberFormat="1" applyFont="1" applyFill="1" applyBorder="1" applyAlignment="1">
      <alignment horizontal="right" vertical="center"/>
    </xf>
    <xf numFmtId="0" fontId="10" fillId="2" borderId="0" xfId="14" applyFont="1" applyFill="1"/>
    <xf numFmtId="173" fontId="2" fillId="2" borderId="53" xfId="14" applyNumberFormat="1" applyFont="1" applyFill="1" applyBorder="1" applyAlignment="1">
      <alignment horizontal="center" vertical="center"/>
    </xf>
    <xf numFmtId="179" fontId="10" fillId="2" borderId="0" xfId="14" applyNumberFormat="1" applyFont="1" applyFill="1"/>
    <xf numFmtId="0" fontId="2" fillId="2" borderId="0" xfId="14" applyFont="1" applyFill="1" applyAlignment="1">
      <alignment horizontal="center"/>
    </xf>
    <xf numFmtId="0" fontId="2" fillId="2" borderId="0" xfId="14" applyFont="1" applyFill="1" applyAlignment="1">
      <alignment horizontal="left"/>
    </xf>
    <xf numFmtId="173" fontId="2" fillId="2" borderId="0" xfId="14" applyNumberFormat="1" applyFont="1" applyFill="1" applyAlignment="1">
      <alignment horizontal="center" vertical="center"/>
    </xf>
    <xf numFmtId="166" fontId="2" fillId="2" borderId="0" xfId="14" applyNumberFormat="1" applyFont="1" applyFill="1" applyAlignment="1">
      <alignment horizontal="right"/>
    </xf>
    <xf numFmtId="0" fontId="2" fillId="2" borderId="0" xfId="14" applyFont="1" applyFill="1"/>
    <xf numFmtId="172" fontId="2" fillId="2" borderId="0" xfId="14" applyNumberFormat="1" applyFont="1" applyFill="1" applyAlignment="1">
      <alignment horizontal="center" vertical="center"/>
    </xf>
    <xf numFmtId="0" fontId="87" fillId="2" borderId="0" xfId="14" applyFont="1" applyFill="1" applyAlignment="1">
      <alignment vertical="center" wrapText="1"/>
    </xf>
    <xf numFmtId="4" fontId="10" fillId="2" borderId="20" xfId="14" applyNumberFormat="1" applyFont="1" applyFill="1" applyBorder="1" applyAlignment="1">
      <alignment horizontal="center"/>
    </xf>
    <xf numFmtId="0" fontId="10" fillId="2" borderId="51" xfId="14" applyFont="1" applyFill="1" applyBorder="1"/>
    <xf numFmtId="0" fontId="10" fillId="2" borderId="7" xfId="14" applyFont="1" applyFill="1" applyBorder="1" applyAlignment="1">
      <alignment horizontal="center" vertical="center"/>
    </xf>
    <xf numFmtId="0" fontId="10" fillId="2" borderId="22" xfId="14" applyFont="1" applyFill="1" applyBorder="1" applyAlignment="1">
      <alignment vertical="center" wrapText="1"/>
    </xf>
    <xf numFmtId="4" fontId="10" fillId="2" borderId="22" xfId="14" applyNumberFormat="1" applyFont="1" applyFill="1" applyBorder="1" applyAlignment="1">
      <alignment horizontal="center" vertical="center"/>
    </xf>
    <xf numFmtId="167" fontId="10" fillId="2" borderId="22" xfId="14" applyNumberFormat="1" applyFont="1" applyFill="1" applyBorder="1" applyAlignment="1">
      <alignment horizontal="center" vertical="center"/>
    </xf>
    <xf numFmtId="0" fontId="10" fillId="2" borderId="39" xfId="14" applyFont="1" applyFill="1" applyBorder="1" applyAlignment="1">
      <alignment vertical="center"/>
    </xf>
    <xf numFmtId="0" fontId="10" fillId="2" borderId="45" xfId="14" applyFont="1" applyFill="1" applyBorder="1" applyAlignment="1">
      <alignment vertical="center"/>
    </xf>
    <xf numFmtId="0" fontId="10" fillId="2" borderId="46" xfId="14" applyFont="1" applyFill="1" applyBorder="1" applyAlignment="1">
      <alignment horizontal="right" vertical="center"/>
    </xf>
    <xf numFmtId="0" fontId="10" fillId="2" borderId="0" xfId="14" applyFont="1" applyFill="1" applyAlignment="1">
      <alignment vertical="center"/>
    </xf>
    <xf numFmtId="0" fontId="2" fillId="2" borderId="0" xfId="14" applyFont="1" applyFill="1" applyAlignment="1">
      <alignment horizontal="center" vertical="center"/>
    </xf>
    <xf numFmtId="0" fontId="35" fillId="2" borderId="0" xfId="0" applyFont="1" applyFill="1"/>
    <xf numFmtId="0" fontId="64" fillId="2" borderId="0" xfId="0" applyFont="1" applyFill="1"/>
    <xf numFmtId="3" fontId="10" fillId="2" borderId="0" xfId="16" applyNumberFormat="1" applyFont="1" applyFill="1" applyAlignment="1">
      <alignment horizontal="right" vertical="center"/>
    </xf>
    <xf numFmtId="0" fontId="96" fillId="2" borderId="0" xfId="23" applyFont="1" applyFill="1" applyAlignment="1">
      <alignment vertical="center"/>
    </xf>
    <xf numFmtId="49" fontId="2" fillId="2" borderId="20" xfId="25" applyNumberFormat="1" applyFont="1" applyFill="1" applyBorder="1" applyAlignment="1">
      <alignment horizontal="center" vertical="center" wrapText="1"/>
    </xf>
    <xf numFmtId="0" fontId="2" fillId="2" borderId="20" xfId="25" applyFont="1" applyFill="1" applyBorder="1" applyAlignment="1">
      <alignment horizontal="center" vertical="center" wrapText="1"/>
    </xf>
    <xf numFmtId="167" fontId="10" fillId="2" borderId="20" xfId="0" applyNumberFormat="1" applyFont="1" applyFill="1" applyBorder="1" applyAlignment="1">
      <alignment vertical="center" wrapText="1"/>
    </xf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/>
    </xf>
    <xf numFmtId="0" fontId="88" fillId="2" borderId="0" xfId="0" applyFont="1" applyFill="1"/>
    <xf numFmtId="0" fontId="10" fillId="2" borderId="0" xfId="0" applyFont="1" applyFill="1" applyAlignment="1">
      <alignment horizontal="left" vertical="center"/>
    </xf>
    <xf numFmtId="168" fontId="2" fillId="0" borderId="20" xfId="6" applyNumberFormat="1" applyFont="1" applyBorder="1"/>
    <xf numFmtId="167" fontId="10" fillId="0" borderId="20" xfId="26" applyNumberFormat="1" applyFont="1" applyFill="1" applyBorder="1" applyAlignment="1">
      <alignment horizontal="center" vertical="center"/>
    </xf>
    <xf numFmtId="167" fontId="4" fillId="0" borderId="20" xfId="0" applyNumberFormat="1" applyFont="1" applyFill="1" applyBorder="1" applyAlignment="1">
      <alignment horizontal="center" vertical="center"/>
    </xf>
    <xf numFmtId="167" fontId="4" fillId="0" borderId="20" xfId="6" applyNumberFormat="1" applyFont="1" applyFill="1" applyBorder="1" applyAlignment="1">
      <alignment horizontal="center" vertical="center"/>
    </xf>
    <xf numFmtId="3" fontId="16" fillId="12" borderId="0" xfId="7" applyNumberFormat="1" applyFont="1" applyFill="1" applyAlignment="1">
      <alignment vertical="center" wrapText="1"/>
    </xf>
    <xf numFmtId="3" fontId="16" fillId="12" borderId="20" xfId="11" applyNumberFormat="1" applyFont="1" applyFill="1" applyBorder="1" applyAlignment="1">
      <alignment horizontal="center" vertical="center" wrapText="1"/>
    </xf>
    <xf numFmtId="3" fontId="18" fillId="12" borderId="20" xfId="8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5" fontId="4" fillId="0" borderId="0" xfId="1" applyFont="1" applyFill="1" applyAlignment="1">
      <alignment vertical="center"/>
    </xf>
    <xf numFmtId="0" fontId="4" fillId="0" borderId="3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181" fontId="4" fillId="0" borderId="0" xfId="1" applyNumberFormat="1" applyFont="1" applyFill="1" applyAlignment="1">
      <alignment vertical="center"/>
    </xf>
    <xf numFmtId="0" fontId="4" fillId="0" borderId="14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right" vertical="center" wrapText="1"/>
    </xf>
    <xf numFmtId="3" fontId="7" fillId="0" borderId="3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2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12" fillId="0" borderId="36" xfId="2" applyFont="1" applyFill="1" applyBorder="1" applyAlignment="1">
      <alignment horizontal="right" vertical="center" wrapText="1"/>
    </xf>
    <xf numFmtId="0" fontId="10" fillId="0" borderId="3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7" fillId="0" borderId="3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18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right" vertical="center" wrapText="1"/>
    </xf>
    <xf numFmtId="0" fontId="10" fillId="0" borderId="6" xfId="4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10" fillId="0" borderId="0" xfId="4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18" xfId="5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right" vertical="center" wrapText="1"/>
    </xf>
    <xf numFmtId="3" fontId="2" fillId="0" borderId="31" xfId="5" applyNumberFormat="1" applyFont="1" applyFill="1" applyBorder="1" applyAlignment="1">
      <alignment horizontal="center" vertical="center" wrapText="1"/>
    </xf>
    <xf numFmtId="165" fontId="7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4" fillId="0" borderId="0" xfId="0" applyFont="1" applyFill="1"/>
    <xf numFmtId="167" fontId="64" fillId="0" borderId="0" xfId="0" applyNumberFormat="1" applyFont="1" applyFill="1"/>
    <xf numFmtId="0" fontId="88" fillId="0" borderId="0" xfId="0" applyFont="1" applyFill="1"/>
    <xf numFmtId="167" fontId="5" fillId="0" borderId="0" xfId="0" applyNumberFormat="1" applyFont="1" applyFill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 wrapText="1"/>
    </xf>
    <xf numFmtId="167" fontId="64" fillId="0" borderId="0" xfId="0" applyNumberFormat="1" applyFont="1" applyFill="1" applyAlignment="1">
      <alignment horizontal="left"/>
    </xf>
    <xf numFmtId="167" fontId="88" fillId="0" borderId="0" xfId="0" applyNumberFormat="1" applyFont="1" applyFill="1"/>
    <xf numFmtId="3" fontId="64" fillId="0" borderId="0" xfId="0" applyNumberFormat="1" applyFont="1" applyFill="1"/>
    <xf numFmtId="3" fontId="64" fillId="0" borderId="0" xfId="0" applyNumberFormat="1" applyFont="1" applyFill="1" applyAlignment="1">
      <alignment horizontal="left"/>
    </xf>
    <xf numFmtId="3" fontId="88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2" fillId="0" borderId="0" xfId="5" applyNumberFormat="1" applyFont="1" applyFill="1" applyBorder="1" applyAlignment="1">
      <alignment horizontal="center" vertical="center" wrapText="1"/>
    </xf>
    <xf numFmtId="0" fontId="2" fillId="2" borderId="42" xfId="14" applyFont="1" applyFill="1" applyBorder="1" applyAlignment="1">
      <alignment horizontal="center" vertical="center" wrapText="1"/>
    </xf>
    <xf numFmtId="0" fontId="2" fillId="2" borderId="41" xfId="14" applyFont="1" applyFill="1" applyBorder="1" applyAlignment="1">
      <alignment horizontal="center" vertical="center" wrapText="1"/>
    </xf>
    <xf numFmtId="0" fontId="2" fillId="2" borderId="48" xfId="14" applyFont="1" applyFill="1" applyBorder="1" applyAlignment="1">
      <alignment horizontal="center" vertical="center" wrapText="1"/>
    </xf>
    <xf numFmtId="0" fontId="69" fillId="2" borderId="42" xfId="0" applyFont="1" applyFill="1" applyBorder="1" applyAlignment="1">
      <alignment horizontal="center" vertical="center" wrapText="1"/>
    </xf>
    <xf numFmtId="0" fontId="97" fillId="2" borderId="20" xfId="0" applyFont="1" applyFill="1" applyBorder="1" applyAlignment="1">
      <alignment horizontal="center" vertical="center" wrapText="1"/>
    </xf>
    <xf numFmtId="0" fontId="70" fillId="2" borderId="20" xfId="0" applyFont="1" applyFill="1" applyBorder="1" applyAlignment="1">
      <alignment horizontal="center" vertical="center" wrapText="1"/>
    </xf>
    <xf numFmtId="164" fontId="4" fillId="12" borderId="0" xfId="0" applyNumberFormat="1" applyFont="1" applyFill="1" applyAlignment="1">
      <alignment vertical="center"/>
    </xf>
    <xf numFmtId="2" fontId="10" fillId="0" borderId="20" xfId="14" applyNumberFormat="1" applyFont="1" applyFill="1" applyBorder="1" applyAlignment="1">
      <alignment horizontal="center"/>
    </xf>
    <xf numFmtId="3" fontId="2" fillId="0" borderId="47" xfId="14" applyNumberFormat="1" applyFont="1" applyFill="1" applyBorder="1" applyAlignment="1">
      <alignment horizontal="right"/>
    </xf>
    <xf numFmtId="4" fontId="10" fillId="0" borderId="22" xfId="14" applyNumberFormat="1" applyFont="1" applyFill="1" applyBorder="1" applyAlignment="1">
      <alignment horizontal="center" vertical="center"/>
    </xf>
    <xf numFmtId="3" fontId="2" fillId="0" borderId="44" xfId="14" applyNumberFormat="1" applyFont="1" applyFill="1" applyBorder="1" applyAlignment="1">
      <alignment horizontal="right" vertical="center"/>
    </xf>
    <xf numFmtId="3" fontId="2" fillId="0" borderId="47" xfId="14" applyNumberFormat="1" applyFont="1" applyFill="1" applyBorder="1" applyAlignment="1">
      <alignment horizontal="right" vertical="center"/>
    </xf>
    <xf numFmtId="166" fontId="2" fillId="0" borderId="54" xfId="14" applyNumberFormat="1" applyFont="1" applyFill="1" applyBorder="1" applyAlignment="1">
      <alignment horizontal="right"/>
    </xf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3" fontId="10" fillId="0" borderId="0" xfId="6" applyNumberFormat="1" applyFont="1" applyAlignment="1">
      <alignment vertical="center"/>
    </xf>
    <xf numFmtId="3" fontId="113" fillId="0" borderId="0" xfId="0" applyNumberFormat="1" applyFont="1"/>
    <xf numFmtId="3" fontId="2" fillId="0" borderId="0" xfId="6" applyNumberFormat="1" applyFont="1" applyFill="1" applyAlignment="1">
      <alignment horizontal="center" vertical="center"/>
    </xf>
    <xf numFmtId="0" fontId="16" fillId="0" borderId="0" xfId="16" applyFont="1" applyFill="1" applyAlignment="1">
      <alignment horizontal="left" vertical="center"/>
    </xf>
    <xf numFmtId="49" fontId="34" fillId="0" borderId="0" xfId="6" applyNumberFormat="1" applyFont="1" applyFill="1"/>
    <xf numFmtId="0" fontId="92" fillId="0" borderId="0" xfId="0" applyFont="1" applyFill="1" applyAlignment="1">
      <alignment horizontal="center" vertical="top" wrapText="1"/>
    </xf>
    <xf numFmtId="0" fontId="77" fillId="0" borderId="0" xfId="0" applyFont="1" applyFill="1"/>
    <xf numFmtId="0" fontId="73" fillId="0" borderId="0" xfId="6" applyFont="1" applyFill="1"/>
    <xf numFmtId="0" fontId="66" fillId="0" borderId="0" xfId="17" applyFont="1" applyFill="1" applyAlignment="1">
      <alignment horizontal="left"/>
    </xf>
    <xf numFmtId="0" fontId="66" fillId="0" borderId="0" xfId="0" applyFont="1" applyFill="1"/>
    <xf numFmtId="171" fontId="67" fillId="0" borderId="0" xfId="1" applyNumberFormat="1" applyFont="1" applyFill="1" applyBorder="1" applyAlignment="1">
      <alignment horizontal="right" wrapText="1"/>
    </xf>
    <xf numFmtId="3" fontId="67" fillId="0" borderId="0" xfId="17" applyNumberFormat="1" applyFont="1" applyFill="1"/>
    <xf numFmtId="0" fontId="67" fillId="0" borderId="0" xfId="17" applyFont="1" applyFill="1"/>
    <xf numFmtId="0" fontId="7" fillId="0" borderId="20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center" vertical="center" wrapText="1"/>
    </xf>
    <xf numFmtId="171" fontId="7" fillId="0" borderId="20" xfId="16" applyNumberFormat="1" applyFont="1" applyFill="1" applyBorder="1" applyAlignment="1">
      <alignment horizontal="center" vertical="center" wrapText="1"/>
    </xf>
    <xf numFmtId="0" fontId="2" fillId="0" borderId="0" xfId="16" applyFont="1" applyFill="1" applyAlignment="1">
      <alignment horizontal="left" vertical="center"/>
    </xf>
    <xf numFmtId="0" fontId="67" fillId="0" borderId="48" xfId="16" applyFont="1" applyFill="1" applyBorder="1" applyAlignment="1">
      <alignment horizontal="center" vertical="center" wrapText="1"/>
    </xf>
    <xf numFmtId="0" fontId="4" fillId="0" borderId="26" xfId="16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0" xfId="16" applyFont="1" applyFill="1" applyBorder="1" applyAlignment="1">
      <alignment horizontal="center" vertical="center" wrapText="1"/>
    </xf>
    <xf numFmtId="3" fontId="10" fillId="0" borderId="20" xfId="2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wrapText="1"/>
    </xf>
    <xf numFmtId="0" fontId="10" fillId="0" borderId="26" xfId="0" applyFont="1" applyFill="1" applyBorder="1" applyAlignment="1">
      <alignment vertical="center" wrapText="1"/>
    </xf>
    <xf numFmtId="1" fontId="4" fillId="0" borderId="20" xfId="16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0" fontId="4" fillId="0" borderId="28" xfId="16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1" fontId="10" fillId="0" borderId="20" xfId="16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1" xfId="16" applyFont="1" applyFill="1" applyBorder="1" applyAlignment="1">
      <alignment horizontal="center" vertical="center" wrapText="1"/>
    </xf>
    <xf numFmtId="0" fontId="10" fillId="0" borderId="20" xfId="16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0" xfId="58" applyFont="1" applyFill="1" applyBorder="1" applyAlignment="1">
      <alignment horizontal="left" vertical="center" wrapText="1"/>
    </xf>
    <xf numFmtId="3" fontId="10" fillId="0" borderId="20" xfId="16" applyNumberFormat="1" applyFont="1" applyFill="1" applyBorder="1" applyAlignment="1">
      <alignment horizontal="center" vertical="center" wrapText="1"/>
    </xf>
    <xf numFmtId="4" fontId="10" fillId="0" borderId="20" xfId="16" applyNumberFormat="1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center" vertical="center" wrapText="1"/>
    </xf>
    <xf numFmtId="3" fontId="10" fillId="0" borderId="20" xfId="2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3" fontId="18" fillId="0" borderId="20" xfId="16" applyNumberFormat="1" applyFont="1" applyFill="1" applyBorder="1" applyAlignment="1">
      <alignment horizontal="right" vertical="center"/>
    </xf>
    <xf numFmtId="3" fontId="16" fillId="0" borderId="0" xfId="16" applyNumberFormat="1" applyFont="1" applyFill="1" applyAlignment="1">
      <alignment horizontal="left" vertical="center"/>
    </xf>
    <xf numFmtId="0" fontId="16" fillId="0" borderId="0" xfId="16" applyFont="1" applyFill="1" applyAlignment="1">
      <alignment horizontal="center" vertical="center"/>
    </xf>
    <xf numFmtId="0" fontId="16" fillId="0" borderId="0" xfId="16" applyFont="1" applyFill="1" applyAlignment="1">
      <alignment horizontal="left" vertical="top"/>
    </xf>
    <xf numFmtId="3" fontId="117" fillId="0" borderId="0" xfId="16" applyNumberFormat="1" applyFont="1" applyFill="1" applyAlignment="1">
      <alignment horizontal="right" vertical="center"/>
    </xf>
    <xf numFmtId="180" fontId="16" fillId="0" borderId="0" xfId="16" applyNumberFormat="1" applyFont="1" applyFill="1" applyAlignment="1">
      <alignment horizontal="left" vertical="center"/>
    </xf>
    <xf numFmtId="0" fontId="16" fillId="0" borderId="0" xfId="6" applyFont="1" applyFill="1" applyAlignment="1">
      <alignment horizontal="center"/>
    </xf>
    <xf numFmtId="0" fontId="4" fillId="0" borderId="0" xfId="55" applyFont="1" applyFill="1" applyAlignment="1">
      <alignment horizontal="center"/>
    </xf>
    <xf numFmtId="3" fontId="10" fillId="0" borderId="0" xfId="15" applyNumberFormat="1" applyFont="1" applyFill="1"/>
    <xf numFmtId="4" fontId="10" fillId="0" borderId="0" xfId="15" applyNumberFormat="1" applyFont="1" applyFill="1"/>
    <xf numFmtId="0" fontId="10" fillId="0" borderId="0" xfId="15" applyFont="1" applyFill="1"/>
    <xf numFmtId="3" fontId="16" fillId="0" borderId="0" xfId="16" applyNumberFormat="1" applyFont="1" applyFill="1" applyAlignment="1">
      <alignment horizontal="right" vertical="center"/>
    </xf>
    <xf numFmtId="3" fontId="10" fillId="0" borderId="0" xfId="14" applyNumberFormat="1" applyFont="1"/>
    <xf numFmtId="167" fontId="7" fillId="0" borderId="3" xfId="0" applyNumberFormat="1" applyFont="1" applyFill="1" applyBorder="1" applyAlignment="1">
      <alignment horizontal="center" vertical="center" wrapText="1"/>
    </xf>
    <xf numFmtId="167" fontId="4" fillId="0" borderId="36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167" fontId="4" fillId="0" borderId="36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/>
    </xf>
    <xf numFmtId="167" fontId="7" fillId="0" borderId="31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 wrapText="1"/>
    </xf>
    <xf numFmtId="167" fontId="7" fillId="0" borderId="36" xfId="0" applyNumberFormat="1" applyFont="1" applyFill="1" applyBorder="1" applyAlignment="1">
      <alignment horizontal="center" vertical="center" wrapText="1"/>
    </xf>
    <xf numFmtId="0" fontId="4" fillId="0" borderId="20" xfId="17" applyFont="1" applyBorder="1" applyAlignment="1">
      <alignment horizontal="left" vertical="top" wrapText="1"/>
    </xf>
    <xf numFmtId="3" fontId="4" fillId="0" borderId="20" xfId="54" applyNumberFormat="1" applyFont="1" applyBorder="1" applyAlignment="1">
      <alignment horizontal="center" vertical="center" wrapText="1"/>
    </xf>
    <xf numFmtId="3" fontId="4" fillId="0" borderId="20" xfId="1" applyNumberFormat="1" applyFont="1" applyFill="1" applyBorder="1" applyAlignment="1">
      <alignment horizontal="center" vertical="center" wrapText="1"/>
    </xf>
    <xf numFmtId="171" fontId="4" fillId="2" borderId="20" xfId="1" applyNumberFormat="1" applyFont="1" applyFill="1" applyBorder="1" applyAlignment="1">
      <alignment horizontal="right"/>
    </xf>
    <xf numFmtId="0" fontId="64" fillId="0" borderId="0" xfId="0" applyFont="1" applyAlignment="1">
      <alignment horizontal="left"/>
    </xf>
    <xf numFmtId="0" fontId="2" fillId="2" borderId="42" xfId="14" applyFont="1" applyFill="1" applyBorder="1" applyAlignment="1">
      <alignment horizontal="center" vertical="center" wrapText="1"/>
    </xf>
    <xf numFmtId="0" fontId="2" fillId="0" borderId="0" xfId="14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41" xfId="14" applyFont="1" applyFill="1" applyBorder="1" applyAlignment="1">
      <alignment horizontal="center" vertical="center" wrapText="1"/>
    </xf>
    <xf numFmtId="0" fontId="2" fillId="2" borderId="48" xfId="14" applyFont="1" applyFill="1" applyBorder="1" applyAlignment="1">
      <alignment horizontal="center" vertical="center" wrapText="1"/>
    </xf>
    <xf numFmtId="0" fontId="69" fillId="2" borderId="42" xfId="0" applyFont="1" applyFill="1" applyBorder="1" applyAlignment="1">
      <alignment horizontal="center" vertical="center" wrapText="1"/>
    </xf>
    <xf numFmtId="0" fontId="97" fillId="2" borderId="20" xfId="0" applyFont="1" applyFill="1" applyBorder="1" applyAlignment="1">
      <alignment horizontal="center" vertical="center" wrapText="1"/>
    </xf>
    <xf numFmtId="0" fontId="97" fillId="2" borderId="49" xfId="0" applyFont="1" applyFill="1" applyBorder="1" applyAlignment="1">
      <alignment horizontal="center" vertical="center" wrapText="1"/>
    </xf>
    <xf numFmtId="0" fontId="70" fillId="2" borderId="20" xfId="0" applyFont="1" applyFill="1" applyBorder="1" applyAlignment="1">
      <alignment horizontal="center" vertical="center" wrapText="1"/>
    </xf>
    <xf numFmtId="167" fontId="2" fillId="0" borderId="31" xfId="5" applyNumberFormat="1" applyFont="1" applyFill="1" applyBorder="1" applyAlignment="1">
      <alignment horizontal="center" vertical="center" wrapText="1"/>
    </xf>
    <xf numFmtId="0" fontId="69" fillId="11" borderId="65" xfId="0" applyFont="1" applyFill="1" applyBorder="1" applyAlignment="1">
      <alignment horizontal="center" vertical="center" wrapText="1"/>
    </xf>
    <xf numFmtId="0" fontId="2" fillId="0" borderId="42" xfId="14" applyFont="1" applyBorder="1" applyAlignment="1">
      <alignment horizontal="center" vertical="center" wrapText="1"/>
    </xf>
    <xf numFmtId="0" fontId="87" fillId="0" borderId="0" xfId="14" applyFont="1" applyAlignment="1">
      <alignment horizontal="center" vertical="center"/>
    </xf>
    <xf numFmtId="166" fontId="10" fillId="2" borderId="23" xfId="14" applyNumberFormat="1" applyFont="1" applyFill="1" applyBorder="1" applyAlignment="1">
      <alignment horizontal="right" vertical="center"/>
    </xf>
    <xf numFmtId="0" fontId="10" fillId="2" borderId="20" xfId="14" applyFont="1" applyFill="1" applyBorder="1"/>
    <xf numFmtId="1" fontId="10" fillId="0" borderId="20" xfId="14" applyNumberFormat="1" applyFont="1" applyBorder="1"/>
    <xf numFmtId="3" fontId="10" fillId="0" borderId="49" xfId="14" applyNumberFormat="1" applyFont="1" applyBorder="1"/>
    <xf numFmtId="167" fontId="10" fillId="0" borderId="49" xfId="14" applyNumberFormat="1" applyFont="1" applyBorder="1"/>
    <xf numFmtId="166" fontId="2" fillId="0" borderId="46" xfId="14" applyNumberFormat="1" applyFont="1" applyBorder="1" applyAlignment="1">
      <alignment horizontal="right"/>
    </xf>
    <xf numFmtId="179" fontId="10" fillId="2" borderId="53" xfId="14" applyNumberFormat="1" applyFont="1" applyFill="1" applyBorder="1"/>
    <xf numFmtId="0" fontId="10" fillId="0" borderId="53" xfId="14" applyFont="1" applyBorder="1"/>
    <xf numFmtId="186" fontId="2" fillId="0" borderId="54" xfId="1" applyNumberFormat="1" applyFont="1" applyBorder="1"/>
    <xf numFmtId="0" fontId="97" fillId="2" borderId="20" xfId="0" applyFont="1" applyFill="1" applyBorder="1" applyAlignment="1">
      <alignment vertical="center" wrapText="1"/>
    </xf>
    <xf numFmtId="0" fontId="70" fillId="2" borderId="20" xfId="0" applyFont="1" applyFill="1" applyBorder="1" applyAlignment="1">
      <alignment vertical="center" wrapText="1"/>
    </xf>
    <xf numFmtId="0" fontId="60" fillId="2" borderId="20" xfId="0" applyFont="1" applyFill="1" applyBorder="1" applyAlignment="1">
      <alignment vertical="center" wrapText="1"/>
    </xf>
    <xf numFmtId="0" fontId="70" fillId="2" borderId="49" xfId="0" applyFont="1" applyFill="1" applyBorder="1" applyAlignment="1">
      <alignment vertical="center" wrapText="1"/>
    </xf>
    <xf numFmtId="2" fontId="10" fillId="0" borderId="20" xfId="14" applyNumberFormat="1" applyFont="1" applyBorder="1" applyAlignment="1">
      <alignment horizontal="center"/>
    </xf>
    <xf numFmtId="3" fontId="10" fillId="2" borderId="20" xfId="14" applyNumberFormat="1" applyFont="1" applyFill="1" applyBorder="1" applyAlignment="1">
      <alignment horizontal="right"/>
    </xf>
    <xf numFmtId="3" fontId="2" fillId="0" borderId="5" xfId="14" applyNumberFormat="1" applyFont="1" applyBorder="1" applyAlignment="1">
      <alignment horizontal="right"/>
    </xf>
    <xf numFmtId="0" fontId="2" fillId="2" borderId="42" xfId="14" applyFont="1" applyFill="1" applyBorder="1" applyAlignment="1">
      <alignment vertical="center" wrapText="1"/>
    </xf>
    <xf numFmtId="4" fontId="10" fillId="0" borderId="22" xfId="14" applyNumberFormat="1" applyFont="1" applyBorder="1" applyAlignment="1">
      <alignment horizontal="center" vertical="center"/>
    </xf>
    <xf numFmtId="3" fontId="10" fillId="2" borderId="20" xfId="14" applyNumberFormat="1" applyFont="1" applyFill="1" applyBorder="1" applyAlignment="1">
      <alignment vertical="center"/>
    </xf>
    <xf numFmtId="4" fontId="10" fillId="2" borderId="21" xfId="14" applyNumberFormat="1" applyFont="1" applyFill="1" applyBorder="1" applyAlignment="1">
      <alignment vertical="center"/>
    </xf>
    <xf numFmtId="4" fontId="10" fillId="2" borderId="21" xfId="14" applyNumberFormat="1" applyFont="1" applyFill="1" applyBorder="1" applyAlignment="1">
      <alignment horizontal="right" vertical="center"/>
    </xf>
    <xf numFmtId="1" fontId="95" fillId="0" borderId="21" xfId="0" applyNumberFormat="1" applyFont="1" applyBorder="1" applyAlignment="1">
      <alignment horizontal="center"/>
    </xf>
    <xf numFmtId="0" fontId="95" fillId="0" borderId="0" xfId="0" applyFont="1" applyAlignment="1">
      <alignment horizontal="right"/>
    </xf>
    <xf numFmtId="3" fontId="2" fillId="2" borderId="20" xfId="14" applyNumberFormat="1" applyFont="1" applyFill="1" applyBorder="1" applyAlignment="1">
      <alignment horizontal="right" vertical="center"/>
    </xf>
    <xf numFmtId="167" fontId="7" fillId="0" borderId="49" xfId="0" applyNumberFormat="1" applyFont="1" applyBorder="1" applyAlignment="1">
      <alignment horizontal="center"/>
    </xf>
    <xf numFmtId="3" fontId="2" fillId="0" borderId="47" xfId="14" applyNumberFormat="1" applyFont="1" applyBorder="1" applyAlignment="1">
      <alignment horizontal="right" vertical="center"/>
    </xf>
    <xf numFmtId="0" fontId="10" fillId="2" borderId="5" xfId="14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/>
    </xf>
    <xf numFmtId="3" fontId="2" fillId="0" borderId="18" xfId="14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center"/>
    </xf>
    <xf numFmtId="166" fontId="10" fillId="0" borderId="0" xfId="14" applyNumberFormat="1" applyFont="1"/>
    <xf numFmtId="0" fontId="97" fillId="2" borderId="23" xfId="0" applyFont="1" applyFill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3" fontId="95" fillId="0" borderId="0" xfId="0" applyNumberFormat="1" applyFont="1" applyBorder="1" applyAlignment="1">
      <alignment horizontal="center"/>
    </xf>
    <xf numFmtId="0" fontId="2" fillId="0" borderId="65" xfId="14" applyFont="1" applyBorder="1" applyAlignment="1">
      <alignment horizontal="center" vertical="center" wrapText="1"/>
    </xf>
    <xf numFmtId="0" fontId="70" fillId="2" borderId="23" xfId="0" applyFont="1" applyFill="1" applyBorder="1" applyAlignment="1">
      <alignment vertical="center" wrapText="1"/>
    </xf>
    <xf numFmtId="3" fontId="10" fillId="0" borderId="23" xfId="14" applyNumberFormat="1" applyFont="1" applyBorder="1"/>
    <xf numFmtId="186" fontId="2" fillId="0" borderId="46" xfId="1" applyNumberFormat="1" applyFont="1" applyBorder="1"/>
    <xf numFmtId="167" fontId="7" fillId="0" borderId="23" xfId="0" applyNumberFormat="1" applyFont="1" applyBorder="1" applyAlignment="1">
      <alignment horizontal="center"/>
    </xf>
    <xf numFmtId="179" fontId="7" fillId="0" borderId="18" xfId="0" applyNumberFormat="1" applyFont="1" applyBorder="1" applyAlignment="1">
      <alignment horizontal="center"/>
    </xf>
    <xf numFmtId="167" fontId="10" fillId="0" borderId="23" xfId="14" applyNumberFormat="1" applyFont="1" applyBorder="1"/>
    <xf numFmtId="3" fontId="95" fillId="0" borderId="49" xfId="0" applyNumberFormat="1" applyFont="1" applyBorder="1" applyAlignment="1">
      <alignment horizontal="center"/>
    </xf>
    <xf numFmtId="179" fontId="7" fillId="0" borderId="54" xfId="0" applyNumberFormat="1" applyFont="1" applyBorder="1" applyAlignment="1">
      <alignment horizontal="center"/>
    </xf>
    <xf numFmtId="0" fontId="97" fillId="2" borderId="23" xfId="0" applyFont="1" applyFill="1" applyBorder="1" applyAlignment="1">
      <alignment vertical="center" wrapText="1"/>
    </xf>
    <xf numFmtId="0" fontId="34" fillId="0" borderId="0" xfId="0" applyFont="1"/>
    <xf numFmtId="0" fontId="73" fillId="0" borderId="0" xfId="0" applyFont="1"/>
    <xf numFmtId="0" fontId="34" fillId="0" borderId="0" xfId="0" applyFont="1" applyAlignment="1">
      <alignment horizontal="left"/>
    </xf>
    <xf numFmtId="0" fontId="89" fillId="0" borderId="49" xfId="0" applyFont="1" applyBorder="1" applyAlignment="1">
      <alignment horizontal="center" vertical="justify" wrapText="1"/>
    </xf>
    <xf numFmtId="171" fontId="64" fillId="0" borderId="49" xfId="1" applyNumberFormat="1" applyFont="1" applyBorder="1"/>
    <xf numFmtId="3" fontId="88" fillId="2" borderId="49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0" xfId="6" applyFont="1" applyAlignment="1">
      <alignment horizontal="left" vertical="center" wrapText="1"/>
    </xf>
    <xf numFmtId="3" fontId="18" fillId="0" borderId="0" xfId="6" applyNumberFormat="1" applyFont="1" applyAlignment="1">
      <alignment horizontal="right" vertical="center" wrapText="1"/>
    </xf>
    <xf numFmtId="0" fontId="18" fillId="0" borderId="0" xfId="6" applyFont="1" applyAlignment="1">
      <alignment horizontal="right" vertical="center" wrapText="1"/>
    </xf>
    <xf numFmtId="3" fontId="18" fillId="0" borderId="21" xfId="7" applyNumberFormat="1" applyFont="1" applyBorder="1" applyAlignment="1">
      <alignment horizontal="center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3" fontId="18" fillId="0" borderId="0" xfId="6" applyNumberFormat="1" applyFont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18" fillId="0" borderId="20" xfId="7" applyFont="1" applyBorder="1" applyAlignment="1">
      <alignment horizontal="center" vertical="center" wrapText="1"/>
    </xf>
    <xf numFmtId="0" fontId="18" fillId="0" borderId="21" xfId="7" applyFont="1" applyBorder="1" applyAlignment="1">
      <alignment horizontal="center" vertical="center" wrapText="1"/>
    </xf>
    <xf numFmtId="0" fontId="18" fillId="0" borderId="22" xfId="7" applyFont="1" applyBorder="1" applyAlignment="1">
      <alignment horizontal="center" vertical="center" wrapText="1"/>
    </xf>
    <xf numFmtId="3" fontId="18" fillId="0" borderId="20" xfId="8" applyNumberFormat="1" applyFont="1" applyFill="1" applyBorder="1" applyAlignment="1">
      <alignment horizontal="center" vertical="center" wrapText="1"/>
    </xf>
    <xf numFmtId="3" fontId="15" fillId="0" borderId="20" xfId="8" applyNumberFormat="1" applyFont="1" applyFill="1" applyBorder="1" applyAlignment="1">
      <alignment horizontal="center" vertical="center" wrapText="1"/>
    </xf>
    <xf numFmtId="0" fontId="19" fillId="0" borderId="20" xfId="7" applyFont="1" applyBorder="1" applyAlignment="1">
      <alignment horizontal="center" vertical="center" wrapText="1"/>
    </xf>
    <xf numFmtId="3" fontId="18" fillId="0" borderId="20" xfId="7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7" fontId="18" fillId="0" borderId="0" xfId="8" applyNumberFormat="1" applyFont="1" applyFill="1" applyBorder="1" applyAlignment="1">
      <alignment horizontal="center" vertical="center" wrapText="1"/>
    </xf>
    <xf numFmtId="0" fontId="18" fillId="0" borderId="0" xfId="14" applyFont="1" applyAlignment="1">
      <alignment horizontal="left" wrapText="1"/>
    </xf>
    <xf numFmtId="3" fontId="18" fillId="0" borderId="21" xfId="8" applyNumberFormat="1" applyFont="1" applyFill="1" applyBorder="1" applyAlignment="1">
      <alignment horizontal="center" vertical="center" wrapText="1"/>
    </xf>
    <xf numFmtId="3" fontId="18" fillId="0" borderId="22" xfId="8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64" fillId="0" borderId="41" xfId="0" applyFont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18" fillId="2" borderId="0" xfId="7" applyFont="1" applyFill="1" applyAlignment="1">
      <alignment horizontal="center" vertical="center" wrapText="1"/>
    </xf>
    <xf numFmtId="167" fontId="18" fillId="2" borderId="0" xfId="8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0" fillId="11" borderId="0" xfId="0" applyFont="1" applyFill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4" fillId="11" borderId="20" xfId="0" applyFont="1" applyFill="1" applyBorder="1" applyAlignment="1">
      <alignment horizontal="center" vertical="center" wrapText="1"/>
    </xf>
    <xf numFmtId="0" fontId="60" fillId="11" borderId="20" xfId="0" applyFont="1" applyFill="1" applyBorder="1" applyAlignment="1">
      <alignment vertical="center" wrapText="1"/>
    </xf>
    <xf numFmtId="0" fontId="74" fillId="11" borderId="23" xfId="0" applyFont="1" applyFill="1" applyBorder="1" applyAlignment="1">
      <alignment horizontal="right" vertical="center" wrapText="1"/>
    </xf>
    <xf numFmtId="0" fontId="74" fillId="11" borderId="26" xfId="0" applyFont="1" applyFill="1" applyBorder="1" applyAlignment="1">
      <alignment horizontal="right" vertical="center" wrapText="1"/>
    </xf>
    <xf numFmtId="167" fontId="74" fillId="11" borderId="20" xfId="0" applyNumberFormat="1" applyFont="1" applyFill="1" applyBorder="1" applyAlignment="1">
      <alignment horizontal="center" vertical="center" wrapText="1"/>
    </xf>
    <xf numFmtId="0" fontId="60" fillId="11" borderId="20" xfId="0" applyFont="1" applyFill="1" applyBorder="1" applyAlignment="1">
      <alignment horizontal="right" vertical="center" wrapText="1"/>
    </xf>
    <xf numFmtId="0" fontId="74" fillId="11" borderId="20" xfId="0" applyFont="1" applyFill="1" applyBorder="1" applyAlignment="1">
      <alignment horizontal="right" vertical="center" wrapText="1"/>
    </xf>
    <xf numFmtId="0" fontId="60" fillId="11" borderId="23" xfId="0" applyFont="1" applyFill="1" applyBorder="1" applyAlignment="1">
      <alignment horizontal="center" vertical="center" wrapText="1"/>
    </xf>
    <xf numFmtId="0" fontId="60" fillId="11" borderId="24" xfId="0" applyFont="1" applyFill="1" applyBorder="1" applyAlignment="1">
      <alignment horizontal="center" vertical="center" wrapText="1"/>
    </xf>
    <xf numFmtId="0" fontId="60" fillId="11" borderId="26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74" fillId="11" borderId="21" xfId="0" applyFont="1" applyFill="1" applyBorder="1" applyAlignment="1">
      <alignment horizontal="right" vertical="center" wrapText="1"/>
    </xf>
    <xf numFmtId="0" fontId="74" fillId="11" borderId="13" xfId="0" applyFont="1" applyFill="1" applyBorder="1" applyAlignment="1">
      <alignment horizontal="right" vertical="center" wrapText="1"/>
    </xf>
    <xf numFmtId="0" fontId="74" fillId="11" borderId="22" xfId="0" applyFont="1" applyFill="1" applyBorder="1" applyAlignment="1">
      <alignment horizontal="right" vertical="center" wrapText="1"/>
    </xf>
    <xf numFmtId="0" fontId="60" fillId="11" borderId="23" xfId="0" applyFont="1" applyFill="1" applyBorder="1" applyAlignment="1">
      <alignment horizontal="right" vertical="center" wrapText="1"/>
    </xf>
    <xf numFmtId="0" fontId="60" fillId="11" borderId="24" xfId="0" applyFont="1" applyFill="1" applyBorder="1" applyAlignment="1">
      <alignment horizontal="right" vertical="center" wrapText="1"/>
    </xf>
    <xf numFmtId="0" fontId="60" fillId="11" borderId="26" xfId="0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/>
    </xf>
    <xf numFmtId="0" fontId="8" fillId="0" borderId="2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2" fillId="0" borderId="25" xfId="6" applyFont="1" applyBorder="1" applyAlignment="1">
      <alignment horizontal="left" wrapText="1"/>
    </xf>
    <xf numFmtId="0" fontId="64" fillId="0" borderId="0" xfId="0" applyFont="1" applyAlignment="1">
      <alignment horizontal="left"/>
    </xf>
    <xf numFmtId="49" fontId="2" fillId="0" borderId="0" xfId="6" applyNumberFormat="1" applyFont="1" applyAlignment="1">
      <alignment horizontal="center"/>
    </xf>
    <xf numFmtId="49" fontId="34" fillId="0" borderId="0" xfId="6" applyNumberFormat="1" applyFont="1" applyAlignment="1">
      <alignment horizontal="center" vertical="center" wrapText="1"/>
    </xf>
    <xf numFmtId="0" fontId="92" fillId="11" borderId="20" xfId="0" applyFont="1" applyFill="1" applyBorder="1" applyAlignment="1">
      <alignment horizontal="center" vertical="center" wrapText="1"/>
    </xf>
    <xf numFmtId="0" fontId="94" fillId="11" borderId="23" xfId="0" applyFont="1" applyFill="1" applyBorder="1" applyAlignment="1">
      <alignment horizontal="center" vertical="center" wrapText="1"/>
    </xf>
    <xf numFmtId="0" fontId="94" fillId="11" borderId="26" xfId="0" applyFont="1" applyFill="1" applyBorder="1" applyAlignment="1">
      <alignment horizontal="center" vertical="center" wrapText="1"/>
    </xf>
    <xf numFmtId="0" fontId="94" fillId="11" borderId="20" xfId="0" applyFont="1" applyFill="1" applyBorder="1" applyAlignment="1">
      <alignment horizontal="center" vertical="center" wrapText="1"/>
    </xf>
    <xf numFmtId="0" fontId="78" fillId="0" borderId="0" xfId="16" applyFont="1" applyAlignment="1">
      <alignment horizontal="center" vertical="center" wrapText="1"/>
    </xf>
    <xf numFmtId="0" fontId="7" fillId="0" borderId="0" xfId="16" applyFont="1" applyAlignment="1">
      <alignment horizontal="center" wrapText="1"/>
    </xf>
    <xf numFmtId="0" fontId="7" fillId="0" borderId="17" xfId="16" applyFont="1" applyBorder="1" applyAlignment="1">
      <alignment horizontal="center" wrapText="1"/>
    </xf>
    <xf numFmtId="0" fontId="7" fillId="0" borderId="20" xfId="16" applyFont="1" applyBorder="1" applyAlignment="1">
      <alignment horizontal="center" vertical="center"/>
    </xf>
    <xf numFmtId="0" fontId="97" fillId="0" borderId="25" xfId="55" applyFont="1" applyBorder="1" applyAlignment="1">
      <alignment horizontal="left" vertical="center" wrapText="1"/>
    </xf>
    <xf numFmtId="0" fontId="2" fillId="0" borderId="0" xfId="16" applyFont="1" applyAlignment="1">
      <alignment horizontal="left"/>
    </xf>
    <xf numFmtId="0" fontId="2" fillId="4" borderId="20" xfId="15" applyFont="1" applyFill="1" applyBorder="1" applyAlignment="1">
      <alignment horizontal="right"/>
    </xf>
    <xf numFmtId="0" fontId="10" fillId="2" borderId="0" xfId="15" applyFont="1" applyFill="1" applyAlignment="1">
      <alignment horizontal="left" wrapText="1"/>
    </xf>
    <xf numFmtId="0" fontId="2" fillId="0" borderId="0" xfId="15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17" applyFont="1" applyAlignment="1">
      <alignment horizontal="left" vertical="center" wrapText="1"/>
    </xf>
    <xf numFmtId="0" fontId="78" fillId="0" borderId="0" xfId="17" applyFont="1" applyAlignment="1">
      <alignment horizontal="center" vertical="center" wrapText="1"/>
    </xf>
    <xf numFmtId="0" fontId="7" fillId="0" borderId="23" xfId="17" applyFont="1" applyBorder="1" applyAlignment="1">
      <alignment horizontal="center"/>
    </xf>
    <xf numFmtId="0" fontId="7" fillId="0" borderId="24" xfId="17" applyFont="1" applyBorder="1" applyAlignment="1">
      <alignment horizontal="center"/>
    </xf>
    <xf numFmtId="0" fontId="7" fillId="0" borderId="26" xfId="17" applyFont="1" applyBorder="1" applyAlignment="1">
      <alignment horizontal="center"/>
    </xf>
    <xf numFmtId="0" fontId="7" fillId="2" borderId="20" xfId="17" applyFont="1" applyFill="1" applyBorder="1" applyAlignment="1">
      <alignment horizontal="center"/>
    </xf>
    <xf numFmtId="0" fontId="66" fillId="2" borderId="23" xfId="17" applyFont="1" applyFill="1" applyBorder="1" applyAlignment="1">
      <alignment horizontal="right"/>
    </xf>
    <xf numFmtId="0" fontId="66" fillId="2" borderId="24" xfId="17" applyFont="1" applyFill="1" applyBorder="1" applyAlignment="1">
      <alignment horizontal="right"/>
    </xf>
    <xf numFmtId="0" fontId="66" fillId="2" borderId="26" xfId="17" applyFont="1" applyFill="1" applyBorder="1" applyAlignment="1">
      <alignment horizontal="right"/>
    </xf>
    <xf numFmtId="49" fontId="34" fillId="0" borderId="0" xfId="6" applyNumberFormat="1" applyFont="1" applyFill="1" applyAlignment="1">
      <alignment horizontal="center" vertical="center" wrapText="1"/>
    </xf>
    <xf numFmtId="0" fontId="18" fillId="0" borderId="20" xfId="16" applyFont="1" applyFill="1" applyBorder="1" applyAlignment="1">
      <alignment horizontal="center" vertical="top"/>
    </xf>
    <xf numFmtId="0" fontId="64" fillId="0" borderId="0" xfId="0" applyFont="1" applyFill="1" applyAlignment="1">
      <alignment horizontal="left"/>
    </xf>
    <xf numFmtId="0" fontId="4" fillId="2" borderId="0" xfId="17" applyFont="1" applyFill="1" applyAlignment="1">
      <alignment horizontal="left" vertical="top" wrapText="1"/>
    </xf>
    <xf numFmtId="175" fontId="39" fillId="0" borderId="0" xfId="27" applyNumberFormat="1" applyFont="1" applyAlignment="1">
      <alignment horizontal="center" vertical="center"/>
    </xf>
    <xf numFmtId="0" fontId="41" fillId="0" borderId="20" xfId="28" applyFont="1" applyBorder="1" applyAlignment="1">
      <alignment horizontal="center" vertical="center" wrapText="1"/>
    </xf>
    <xf numFmtId="0" fontId="42" fillId="0" borderId="20" xfId="28" applyFont="1" applyBorder="1" applyAlignment="1">
      <alignment horizontal="center" vertical="center" wrapText="1"/>
    </xf>
    <xf numFmtId="0" fontId="41" fillId="0" borderId="20" xfId="28" applyFont="1" applyBorder="1" applyAlignment="1">
      <alignment horizontal="center" vertical="center" textRotation="90" wrapText="1"/>
    </xf>
    <xf numFmtId="0" fontId="43" fillId="6" borderId="20" xfId="28" applyFont="1" applyFill="1" applyBorder="1" applyAlignment="1">
      <alignment horizontal="center" vertical="center" wrapText="1"/>
    </xf>
    <xf numFmtId="3" fontId="41" fillId="0" borderId="20" xfId="28" applyNumberFormat="1" applyFont="1" applyBorder="1" applyAlignment="1">
      <alignment horizontal="center" vertical="center" wrapText="1"/>
    </xf>
    <xf numFmtId="0" fontId="41" fillId="0" borderId="20" xfId="28" applyFont="1" applyBorder="1" applyAlignment="1">
      <alignment horizontal="right" vertical="center" wrapText="1"/>
    </xf>
    <xf numFmtId="0" fontId="43" fillId="0" borderId="20" xfId="28" applyFont="1" applyBorder="1" applyAlignment="1">
      <alignment horizontal="right" vertical="center" wrapText="1"/>
    </xf>
    <xf numFmtId="0" fontId="43" fillId="0" borderId="20" xfId="28" applyFont="1" applyBorder="1" applyAlignment="1">
      <alignment horizontal="center" vertical="center" wrapText="1"/>
    </xf>
    <xf numFmtId="0" fontId="41" fillId="10" borderId="23" xfId="28" applyFont="1" applyFill="1" applyBorder="1" applyAlignment="1">
      <alignment horizontal="center" vertical="center" wrapText="1"/>
    </xf>
    <xf numFmtId="0" fontId="41" fillId="10" borderId="24" xfId="28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20" xfId="39" applyFont="1" applyBorder="1" applyAlignment="1">
      <alignment horizontal="center" vertical="center" wrapText="1"/>
    </xf>
    <xf numFmtId="0" fontId="50" fillId="0" borderId="20" xfId="39" applyFont="1" applyBorder="1" applyAlignment="1">
      <alignment horizontal="right" vertical="center" wrapText="1"/>
    </xf>
    <xf numFmtId="0" fontId="50" fillId="0" borderId="23" xfId="39" applyFont="1" applyBorder="1" applyAlignment="1">
      <alignment horizontal="center" vertical="center" wrapText="1"/>
    </xf>
    <xf numFmtId="0" fontId="50" fillId="0" borderId="24" xfId="39" applyFont="1" applyBorder="1" applyAlignment="1">
      <alignment horizontal="center" vertical="center" wrapText="1"/>
    </xf>
    <xf numFmtId="0" fontId="50" fillId="0" borderId="26" xfId="39" applyFont="1" applyBorder="1" applyAlignment="1">
      <alignment horizontal="center" vertical="center" wrapText="1"/>
    </xf>
    <xf numFmtId="0" fontId="50" fillId="10" borderId="23" xfId="39" applyFont="1" applyFill="1" applyBorder="1" applyAlignment="1">
      <alignment horizontal="center" vertical="center" wrapText="1"/>
    </xf>
    <xf numFmtId="0" fontId="50" fillId="10" borderId="24" xfId="39" applyFont="1" applyFill="1" applyBorder="1" applyAlignment="1">
      <alignment horizontal="center" vertical="center" wrapText="1"/>
    </xf>
    <xf numFmtId="0" fontId="50" fillId="10" borderId="26" xfId="39" applyFont="1" applyFill="1" applyBorder="1" applyAlignment="1">
      <alignment horizontal="center" vertical="center" wrapText="1"/>
    </xf>
    <xf numFmtId="0" fontId="56" fillId="0" borderId="20" xfId="39" applyFont="1" applyBorder="1" applyAlignment="1">
      <alignment horizontal="center" vertical="center" wrapText="1"/>
    </xf>
    <xf numFmtId="0" fontId="56" fillId="0" borderId="20" xfId="39" applyFont="1" applyBorder="1" applyAlignment="1">
      <alignment horizontal="right" vertical="center" wrapText="1"/>
    </xf>
    <xf numFmtId="0" fontId="56" fillId="6" borderId="20" xfId="39" applyFont="1" applyFill="1" applyBorder="1" applyAlignment="1">
      <alignment horizontal="center" vertical="center" wrapText="1"/>
    </xf>
    <xf numFmtId="175" fontId="48" fillId="0" borderId="0" xfId="38" applyNumberFormat="1" applyFont="1" applyAlignment="1">
      <alignment horizontal="center" vertical="center"/>
    </xf>
    <xf numFmtId="0" fontId="51" fillId="0" borderId="20" xfId="39" applyFont="1" applyBorder="1" applyAlignment="1">
      <alignment horizontal="center" vertical="center" wrapText="1"/>
    </xf>
    <xf numFmtId="0" fontId="50" fillId="0" borderId="20" xfId="39" applyFont="1" applyBorder="1" applyAlignment="1">
      <alignment horizontal="center" vertical="center" textRotation="90" wrapText="1"/>
    </xf>
    <xf numFmtId="3" fontId="50" fillId="0" borderId="20" xfId="39" applyNumberFormat="1" applyFont="1" applyBorder="1" applyAlignment="1">
      <alignment horizontal="center" vertical="center" wrapText="1"/>
    </xf>
    <xf numFmtId="0" fontId="106" fillId="16" borderId="23" xfId="28" applyFont="1" applyFill="1" applyBorder="1" applyAlignment="1">
      <alignment horizontal="center" vertical="center"/>
    </xf>
    <xf numFmtId="0" fontId="106" fillId="16" borderId="24" xfId="28" applyFont="1" applyFill="1" applyBorder="1" applyAlignment="1">
      <alignment horizontal="center" vertical="center"/>
    </xf>
    <xf numFmtId="0" fontId="106" fillId="16" borderId="26" xfId="28" applyFont="1" applyFill="1" applyBorder="1" applyAlignment="1">
      <alignment horizontal="center" vertical="center"/>
    </xf>
    <xf numFmtId="3" fontId="41" fillId="13" borderId="20" xfId="36" applyNumberFormat="1" applyFont="1" applyFill="1" applyBorder="1" applyAlignment="1">
      <alignment horizontal="center" vertical="center" wrapText="1"/>
    </xf>
    <xf numFmtId="0" fontId="98" fillId="12" borderId="56" xfId="36" applyFont="1" applyFill="1" applyBorder="1" applyAlignment="1">
      <alignment horizontal="center" vertical="center" wrapText="1"/>
    </xf>
    <xf numFmtId="0" fontId="98" fillId="12" borderId="57" xfId="36" applyFont="1" applyFill="1" applyBorder="1" applyAlignment="1">
      <alignment horizontal="center" vertical="center" wrapText="1"/>
    </xf>
    <xf numFmtId="3" fontId="41" fillId="15" borderId="20" xfId="36" applyNumberFormat="1" applyFont="1" applyFill="1" applyBorder="1" applyAlignment="1">
      <alignment horizontal="center" vertical="center" wrapText="1"/>
    </xf>
    <xf numFmtId="0" fontId="98" fillId="12" borderId="30" xfId="36" applyFont="1" applyFill="1" applyBorder="1" applyAlignment="1">
      <alignment horizontal="center" vertical="center" wrapText="1"/>
    </xf>
    <xf numFmtId="0" fontId="98" fillId="12" borderId="19" xfId="36" applyFont="1" applyFill="1" applyBorder="1" applyAlignment="1">
      <alignment horizontal="center" vertical="center" wrapText="1"/>
    </xf>
    <xf numFmtId="0" fontId="98" fillId="12" borderId="24" xfId="36" applyFont="1" applyFill="1" applyBorder="1" applyAlignment="1">
      <alignment horizontal="center" vertical="center" wrapText="1"/>
    </xf>
    <xf numFmtId="0" fontId="98" fillId="12" borderId="26" xfId="36" applyFont="1" applyFill="1" applyBorder="1" applyAlignment="1">
      <alignment horizontal="center" vertical="center" wrapText="1"/>
    </xf>
    <xf numFmtId="3" fontId="43" fillId="13" borderId="20" xfId="36" applyNumberFormat="1" applyFont="1" applyFill="1" applyBorder="1" applyAlignment="1">
      <alignment horizontal="center" vertical="center"/>
    </xf>
    <xf numFmtId="0" fontId="98" fillId="12" borderId="22" xfId="36" applyFont="1" applyFill="1" applyBorder="1" applyAlignment="1">
      <alignment horizontal="center" vertical="center" wrapText="1"/>
    </xf>
    <xf numFmtId="0" fontId="98" fillId="12" borderId="20" xfId="36" applyFont="1" applyFill="1" applyBorder="1" applyAlignment="1">
      <alignment horizontal="center" vertical="center" wrapText="1"/>
    </xf>
    <xf numFmtId="0" fontId="107" fillId="12" borderId="30" xfId="36" applyFont="1" applyFill="1" applyBorder="1" applyAlignment="1">
      <alignment horizontal="center" vertical="center" wrapText="1"/>
    </xf>
    <xf numFmtId="0" fontId="107" fillId="12" borderId="19" xfId="36" applyFont="1" applyFill="1" applyBorder="1" applyAlignment="1">
      <alignment horizontal="center" vertical="center" wrapText="1"/>
    </xf>
    <xf numFmtId="0" fontId="107" fillId="12" borderId="24" xfId="36" applyFont="1" applyFill="1" applyBorder="1" applyAlignment="1">
      <alignment horizontal="center" vertical="center" wrapText="1"/>
    </xf>
    <xf numFmtId="0" fontId="107" fillId="12" borderId="26" xfId="36" applyFont="1" applyFill="1" applyBorder="1" applyAlignment="1">
      <alignment horizontal="center" vertical="center" wrapText="1"/>
    </xf>
    <xf numFmtId="0" fontId="107" fillId="12" borderId="20" xfId="36" applyFont="1" applyFill="1" applyBorder="1" applyAlignment="1">
      <alignment horizontal="center" vertical="center" wrapText="1"/>
    </xf>
    <xf numFmtId="0" fontId="98" fillId="12" borderId="23" xfId="28" applyFont="1" applyFill="1" applyBorder="1" applyAlignment="1">
      <alignment horizontal="center" vertical="center" wrapText="1"/>
    </xf>
    <xf numFmtId="0" fontId="98" fillId="12" borderId="24" xfId="28" applyFont="1" applyFill="1" applyBorder="1" applyAlignment="1">
      <alignment horizontal="center" vertical="center" wrapText="1"/>
    </xf>
    <xf numFmtId="0" fontId="98" fillId="12" borderId="26" xfId="28" applyFont="1" applyFill="1" applyBorder="1" applyAlignment="1">
      <alignment horizontal="center" vertical="center" wrapText="1"/>
    </xf>
    <xf numFmtId="3" fontId="41" fillId="0" borderId="55" xfId="28" applyNumberFormat="1" applyFont="1" applyBorder="1" applyAlignment="1">
      <alignment horizontal="center" vertical="center" wrapText="1"/>
    </xf>
    <xf numFmtId="0" fontId="41" fillId="0" borderId="55" xfId="28" applyFont="1" applyBorder="1" applyAlignment="1">
      <alignment horizontal="center" vertical="center" textRotation="90" wrapText="1"/>
    </xf>
    <xf numFmtId="0" fontId="41" fillId="0" borderId="55" xfId="28" applyFont="1" applyBorder="1" applyAlignment="1">
      <alignment horizontal="center" vertical="center" wrapText="1"/>
    </xf>
    <xf numFmtId="1" fontId="41" fillId="0" borderId="55" xfId="28" applyNumberFormat="1" applyFont="1" applyBorder="1" applyAlignment="1">
      <alignment horizontal="center" vertical="center" wrapText="1"/>
    </xf>
    <xf numFmtId="0" fontId="41" fillId="0" borderId="55" xfId="28" applyFont="1" applyBorder="1" applyAlignment="1">
      <alignment horizontal="left" vertical="center" wrapText="1"/>
    </xf>
    <xf numFmtId="0" fontId="2" fillId="0" borderId="0" xfId="14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7" xfId="14" applyFont="1" applyBorder="1" applyAlignment="1">
      <alignment horizontal="center" vertical="center" wrapText="1"/>
    </xf>
    <xf numFmtId="0" fontId="3" fillId="0" borderId="25" xfId="14" applyFont="1" applyBorder="1" applyAlignment="1">
      <alignment horizontal="center" vertical="center" wrapText="1"/>
    </xf>
    <xf numFmtId="0" fontId="3" fillId="0" borderId="28" xfId="14" applyFont="1" applyBorder="1" applyAlignment="1">
      <alignment horizontal="center" vertical="center" wrapText="1"/>
    </xf>
    <xf numFmtId="0" fontId="2" fillId="2" borderId="45" xfId="14" applyFont="1" applyFill="1" applyBorder="1" applyAlignment="1">
      <alignment horizontal="center"/>
    </xf>
    <xf numFmtId="0" fontId="2" fillId="2" borderId="5" xfId="14" applyFont="1" applyFill="1" applyBorder="1" applyAlignment="1">
      <alignment horizontal="center"/>
    </xf>
    <xf numFmtId="0" fontId="2" fillId="2" borderId="52" xfId="14" applyFont="1" applyFill="1" applyBorder="1" applyAlignment="1">
      <alignment horizontal="center"/>
    </xf>
    <xf numFmtId="0" fontId="2" fillId="2" borderId="41" xfId="14" applyFont="1" applyFill="1" applyBorder="1" applyAlignment="1">
      <alignment horizontal="center" vertical="center" wrapText="1"/>
    </xf>
    <xf numFmtId="0" fontId="2" fillId="2" borderId="48" xfId="14" applyFont="1" applyFill="1" applyBorder="1" applyAlignment="1">
      <alignment horizontal="center" vertical="center" wrapText="1"/>
    </xf>
    <xf numFmtId="0" fontId="69" fillId="2" borderId="42" xfId="0" applyFont="1" applyFill="1" applyBorder="1" applyAlignment="1">
      <alignment horizontal="center" vertical="center" wrapText="1"/>
    </xf>
    <xf numFmtId="0" fontId="69" fillId="2" borderId="43" xfId="0" applyFont="1" applyFill="1" applyBorder="1" applyAlignment="1">
      <alignment horizontal="center" vertical="center" wrapText="1"/>
    </xf>
    <xf numFmtId="0" fontId="97" fillId="2" borderId="20" xfId="0" applyFont="1" applyFill="1" applyBorder="1" applyAlignment="1">
      <alignment horizontal="center" vertical="center" wrapText="1"/>
    </xf>
    <xf numFmtId="0" fontId="97" fillId="2" borderId="23" xfId="0" applyFont="1" applyFill="1" applyBorder="1" applyAlignment="1">
      <alignment horizontal="center" vertical="center" wrapText="1"/>
    </xf>
    <xf numFmtId="0" fontId="70" fillId="2" borderId="20" xfId="0" applyFont="1" applyFill="1" applyBorder="1" applyAlignment="1">
      <alignment horizontal="center" vertical="center" wrapText="1"/>
    </xf>
    <xf numFmtId="0" fontId="70" fillId="2" borderId="23" xfId="0" applyFont="1" applyFill="1" applyBorder="1" applyAlignment="1">
      <alignment horizontal="center" vertical="center" wrapText="1"/>
    </xf>
    <xf numFmtId="3" fontId="10" fillId="2" borderId="21" xfId="14" applyNumberFormat="1" applyFont="1" applyFill="1" applyBorder="1" applyAlignment="1">
      <alignment horizontal="right"/>
    </xf>
    <xf numFmtId="3" fontId="10" fillId="2" borderId="27" xfId="14" applyNumberFormat="1" applyFont="1" applyFill="1" applyBorder="1" applyAlignment="1">
      <alignment horizontal="right"/>
    </xf>
    <xf numFmtId="0" fontId="2" fillId="2" borderId="46" xfId="14" applyFont="1" applyFill="1" applyBorder="1" applyAlignment="1">
      <alignment horizontal="left"/>
    </xf>
    <xf numFmtId="0" fontId="2" fillId="2" borderId="5" xfId="14" applyFont="1" applyFill="1" applyBorder="1" applyAlignment="1">
      <alignment horizontal="left"/>
    </xf>
    <xf numFmtId="0" fontId="2" fillId="2" borderId="23" xfId="14" applyFont="1" applyFill="1" applyBorder="1" applyAlignment="1">
      <alignment horizontal="left" vertical="center"/>
    </xf>
    <xf numFmtId="0" fontId="2" fillId="2" borderId="24" xfId="14" applyFont="1" applyFill="1" applyBorder="1" applyAlignment="1">
      <alignment horizontal="left" vertical="center"/>
    </xf>
    <xf numFmtId="0" fontId="2" fillId="2" borderId="46" xfId="14" applyFont="1" applyFill="1" applyBorder="1" applyAlignment="1">
      <alignment horizontal="left" vertical="center"/>
    </xf>
    <xf numFmtId="0" fontId="2" fillId="2" borderId="5" xfId="14" applyFont="1" applyFill="1" applyBorder="1" applyAlignment="1">
      <alignment horizontal="left" vertical="center"/>
    </xf>
    <xf numFmtId="3" fontId="2" fillId="0" borderId="53" xfId="14" applyNumberFormat="1" applyFont="1" applyBorder="1" applyAlignment="1">
      <alignment horizontal="center"/>
    </xf>
    <xf numFmtId="3" fontId="2" fillId="0" borderId="20" xfId="14" applyNumberFormat="1" applyFont="1" applyBorder="1" applyAlignment="1">
      <alignment horizontal="center" vertical="center"/>
    </xf>
    <xf numFmtId="0" fontId="97" fillId="2" borderId="49" xfId="0" applyFont="1" applyFill="1" applyBorder="1" applyAlignment="1">
      <alignment horizontal="center" vertical="center" wrapText="1"/>
    </xf>
    <xf numFmtId="0" fontId="70" fillId="2" borderId="49" xfId="0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left"/>
    </xf>
    <xf numFmtId="3" fontId="10" fillId="2" borderId="50" xfId="14" applyNumberFormat="1" applyFont="1" applyFill="1" applyBorder="1" applyAlignment="1">
      <alignment horizontal="right"/>
    </xf>
    <xf numFmtId="0" fontId="2" fillId="2" borderId="42" xfId="14" applyFont="1" applyFill="1" applyBorder="1" applyAlignment="1">
      <alignment horizontal="center" vertical="center" wrapText="1"/>
    </xf>
    <xf numFmtId="0" fontId="2" fillId="2" borderId="43" xfId="14" applyFont="1" applyFill="1" applyBorder="1" applyAlignment="1">
      <alignment horizontal="center" vertical="center" wrapText="1"/>
    </xf>
    <xf numFmtId="3" fontId="10" fillId="2" borderId="9" xfId="14" applyNumberFormat="1" applyFont="1" applyFill="1" applyBorder="1" applyAlignment="1">
      <alignment horizontal="right" vertical="center"/>
    </xf>
    <xf numFmtId="3" fontId="10" fillId="2" borderId="37" xfId="14" applyNumberFormat="1" applyFont="1" applyFill="1" applyBorder="1" applyAlignment="1">
      <alignment horizontal="right" vertical="center"/>
    </xf>
    <xf numFmtId="0" fontId="2" fillId="2" borderId="23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center" vertical="center"/>
    </xf>
    <xf numFmtId="0" fontId="2" fillId="2" borderId="26" xfId="6" applyFont="1" applyFill="1" applyBorder="1" applyAlignment="1">
      <alignment horizontal="center" vertical="center"/>
    </xf>
    <xf numFmtId="0" fontId="7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wrapText="1"/>
    </xf>
    <xf numFmtId="0" fontId="41" fillId="0" borderId="20" xfId="62" applyFont="1" applyBorder="1" applyAlignment="1">
      <alignment horizontal="center" vertical="center" wrapText="1"/>
    </xf>
    <xf numFmtId="0" fontId="98" fillId="0" borderId="20" xfId="62" applyFont="1" applyBorder="1" applyAlignment="1">
      <alignment horizontal="center" vertical="center" wrapText="1"/>
    </xf>
    <xf numFmtId="0" fontId="41" fillId="0" borderId="20" xfId="62" applyFont="1" applyBorder="1" applyAlignment="1">
      <alignment horizontal="center" vertical="center" textRotation="90" wrapText="1"/>
    </xf>
    <xf numFmtId="0" fontId="41" fillId="12" borderId="20" xfId="62" applyFont="1" applyFill="1" applyBorder="1" applyAlignment="1">
      <alignment horizontal="center" vertical="center" textRotation="90" wrapText="1"/>
    </xf>
    <xf numFmtId="3" fontId="41" fillId="0" borderId="20" xfId="62" applyNumberFormat="1" applyFont="1" applyBorder="1" applyAlignment="1">
      <alignment horizontal="center" vertical="center" wrapText="1"/>
    </xf>
    <xf numFmtId="3" fontId="39" fillId="16" borderId="23" xfId="28" applyNumberFormat="1" applyFont="1" applyFill="1" applyBorder="1" applyAlignment="1">
      <alignment horizontal="center"/>
    </xf>
    <xf numFmtId="3" fontId="39" fillId="16" borderId="24" xfId="28" applyNumberFormat="1" applyFont="1" applyFill="1" applyBorder="1" applyAlignment="1">
      <alignment horizontal="center"/>
    </xf>
    <xf numFmtId="3" fontId="41" fillId="12" borderId="20" xfId="36" applyNumberFormat="1" applyFont="1" applyFill="1" applyBorder="1" applyAlignment="1">
      <alignment horizontal="center" vertical="center" wrapText="1"/>
    </xf>
    <xf numFmtId="3" fontId="41" fillId="13" borderId="20" xfId="62" applyNumberFormat="1" applyFont="1" applyFill="1" applyBorder="1" applyAlignment="1">
      <alignment horizontal="center" vertical="center" wrapText="1"/>
    </xf>
    <xf numFmtId="3" fontId="43" fillId="12" borderId="20" xfId="36" applyNumberFormat="1" applyFont="1" applyFill="1" applyBorder="1" applyAlignment="1">
      <alignment horizontal="center" vertical="center" wrapText="1"/>
    </xf>
    <xf numFmtId="3" fontId="39" fillId="13" borderId="20" xfId="36" applyNumberFormat="1" applyFont="1" applyFill="1" applyBorder="1" applyAlignment="1">
      <alignment horizontal="center"/>
    </xf>
    <xf numFmtId="0" fontId="41" fillId="2" borderId="20" xfId="62" applyFont="1" applyFill="1" applyBorder="1" applyAlignment="1">
      <alignment horizontal="center" vertical="center" wrapText="1"/>
    </xf>
    <xf numFmtId="0" fontId="41" fillId="12" borderId="20" xfId="28" applyFont="1" applyFill="1" applyBorder="1" applyAlignment="1">
      <alignment horizontal="center" vertical="center" wrapText="1"/>
    </xf>
    <xf numFmtId="3" fontId="36" fillId="13" borderId="20" xfId="36" applyNumberFormat="1" applyFont="1" applyFill="1" applyBorder="1" applyAlignment="1">
      <alignment horizontal="center" vertical="center" wrapText="1"/>
    </xf>
    <xf numFmtId="3" fontId="43" fillId="13" borderId="20" xfId="36" applyNumberFormat="1" applyFont="1" applyFill="1" applyBorder="1" applyAlignment="1">
      <alignment horizontal="center" vertical="center" wrapText="1"/>
    </xf>
    <xf numFmtId="0" fontId="41" fillId="12" borderId="20" xfId="62" applyFont="1" applyFill="1" applyBorder="1" applyAlignment="1">
      <alignment horizontal="center" vertical="center" wrapText="1"/>
    </xf>
    <xf numFmtId="0" fontId="31" fillId="0" borderId="9" xfId="6" applyFont="1" applyBorder="1" applyAlignment="1">
      <alignment horizontal="center"/>
    </xf>
    <xf numFmtId="0" fontId="30" fillId="0" borderId="20" xfId="6" applyFont="1" applyBorder="1" applyAlignment="1">
      <alignment horizontal="right"/>
    </xf>
    <xf numFmtId="0" fontId="60" fillId="2" borderId="0" xfId="6" applyFont="1" applyFill="1" applyAlignment="1">
      <alignment horizontal="left" wrapText="1"/>
    </xf>
    <xf numFmtId="0" fontId="30" fillId="0" borderId="23" xfId="6" applyFont="1" applyFill="1" applyBorder="1" applyAlignment="1">
      <alignment horizontal="center" vertical="center" wrapText="1"/>
    </xf>
    <xf numFmtId="0" fontId="30" fillId="0" borderId="26" xfId="6" applyFont="1" applyFill="1" applyBorder="1" applyAlignment="1">
      <alignment horizontal="center" vertical="center" wrapText="1"/>
    </xf>
    <xf numFmtId="0" fontId="30" fillId="0" borderId="21" xfId="6" applyFont="1" applyBorder="1" applyAlignment="1">
      <alignment horizontal="center" vertical="center" wrapText="1"/>
    </xf>
    <xf numFmtId="0" fontId="30" fillId="0" borderId="22" xfId="6" applyFont="1" applyBorder="1" applyAlignment="1">
      <alignment horizontal="center" vertical="center" wrapText="1"/>
    </xf>
    <xf numFmtId="0" fontId="2" fillId="0" borderId="0" xfId="6" applyFont="1" applyAlignment="1">
      <alignment horizontal="center"/>
    </xf>
    <xf numFmtId="0" fontId="30" fillId="0" borderId="21" xfId="6" applyFont="1" applyBorder="1" applyAlignment="1">
      <alignment horizontal="center" textRotation="90" wrapText="1"/>
    </xf>
    <xf numFmtId="0" fontId="30" fillId="0" borderId="22" xfId="6" applyFont="1" applyBorder="1" applyAlignment="1">
      <alignment horizontal="center" textRotation="90" wrapText="1"/>
    </xf>
    <xf numFmtId="0" fontId="30" fillId="0" borderId="0" xfId="0" applyFont="1" applyAlignment="1">
      <alignment horizontal="left" vertical="center" wrapText="1"/>
    </xf>
    <xf numFmtId="0" fontId="30" fillId="0" borderId="0" xfId="6" applyFont="1" applyAlignment="1">
      <alignment horizontal="center" wrapText="1"/>
    </xf>
    <xf numFmtId="0" fontId="30" fillId="0" borderId="0" xfId="6" applyFont="1" applyAlignment="1">
      <alignment horizontal="center"/>
    </xf>
    <xf numFmtId="0" fontId="30" fillId="0" borderId="32" xfId="6" applyFont="1" applyBorder="1" applyAlignment="1">
      <alignment horizontal="right"/>
    </xf>
    <xf numFmtId="0" fontId="30" fillId="0" borderId="33" xfId="6" applyFont="1" applyBorder="1" applyAlignment="1">
      <alignment horizontal="right"/>
    </xf>
    <xf numFmtId="0" fontId="30" fillId="0" borderId="34" xfId="6" applyFont="1" applyBorder="1" applyAlignment="1">
      <alignment horizontal="right"/>
    </xf>
    <xf numFmtId="0" fontId="31" fillId="0" borderId="35" xfId="6" applyFont="1" applyBorder="1" applyAlignment="1">
      <alignment horizontal="left"/>
    </xf>
    <xf numFmtId="0" fontId="61" fillId="2" borderId="30" xfId="6" applyFont="1" applyFill="1" applyBorder="1" applyAlignment="1">
      <alignment horizontal="left" wrapText="1"/>
    </xf>
    <xf numFmtId="0" fontId="61" fillId="2" borderId="19" xfId="6" applyFont="1" applyFill="1" applyBorder="1" applyAlignment="1">
      <alignment horizontal="left" wrapText="1"/>
    </xf>
    <xf numFmtId="0" fontId="61" fillId="2" borderId="29" xfId="6" applyFont="1" applyFill="1" applyBorder="1" applyAlignment="1">
      <alignment horizontal="left" wrapText="1"/>
    </xf>
    <xf numFmtId="0" fontId="28" fillId="2" borderId="10" xfId="6" applyFont="1" applyFill="1" applyBorder="1" applyAlignment="1">
      <alignment horizontal="center" wrapText="1"/>
    </xf>
    <xf numFmtId="0" fontId="28" fillId="2" borderId="35" xfId="6" applyFont="1" applyFill="1" applyBorder="1" applyAlignment="1">
      <alignment horizontal="center" wrapText="1"/>
    </xf>
    <xf numFmtId="0" fontId="28" fillId="2" borderId="11" xfId="6" applyFont="1" applyFill="1" applyBorder="1" applyAlignment="1">
      <alignment horizontal="center" wrapText="1"/>
    </xf>
    <xf numFmtId="0" fontId="28" fillId="0" borderId="9" xfId="6" applyFont="1" applyBorder="1" applyAlignment="1">
      <alignment horizontal="center" wrapText="1"/>
    </xf>
    <xf numFmtId="0" fontId="28" fillId="0" borderId="0" xfId="6" applyFont="1" applyAlignment="1">
      <alignment horizontal="center" wrapText="1"/>
    </xf>
    <xf numFmtId="0" fontId="28" fillId="0" borderId="17" xfId="6" applyFont="1" applyBorder="1" applyAlignment="1">
      <alignment horizontal="center" wrapText="1"/>
    </xf>
    <xf numFmtId="0" fontId="61" fillId="2" borderId="9" xfId="6" applyFont="1" applyFill="1" applyBorder="1" applyAlignment="1">
      <alignment horizontal="left" wrapText="1"/>
    </xf>
    <xf numFmtId="0" fontId="61" fillId="2" borderId="0" xfId="6" applyFont="1" applyFill="1" applyAlignment="1">
      <alignment horizontal="left" wrapText="1"/>
    </xf>
    <xf numFmtId="0" fontId="61" fillId="2" borderId="17" xfId="6" applyFont="1" applyFill="1" applyBorder="1" applyAlignment="1">
      <alignment horizontal="left" wrapText="1"/>
    </xf>
    <xf numFmtId="0" fontId="61" fillId="0" borderId="0" xfId="6" applyFont="1" applyAlignment="1">
      <alignment horizontal="left" wrapText="1"/>
    </xf>
    <xf numFmtId="49" fontId="28" fillId="0" borderId="0" xfId="6" applyNumberFormat="1" applyFont="1" applyAlignment="1">
      <alignment horizontal="center" wrapText="1"/>
    </xf>
    <xf numFmtId="0" fontId="61" fillId="0" borderId="0" xfId="6" applyFont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35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9" xfId="6" applyFont="1" applyBorder="1" applyAlignment="1">
      <alignment horizontal="center" vertical="center" wrapText="1"/>
    </xf>
    <xf numFmtId="0" fontId="28" fillId="0" borderId="0" xfId="6" applyFont="1" applyAlignment="1">
      <alignment horizontal="center" vertical="center" wrapText="1"/>
    </xf>
    <xf numFmtId="0" fontId="28" fillId="0" borderId="17" xfId="6" applyFont="1" applyBorder="1" applyAlignment="1">
      <alignment horizontal="center" vertical="center" wrapText="1"/>
    </xf>
    <xf numFmtId="4" fontId="63" fillId="0" borderId="0" xfId="6" applyNumberFormat="1" applyFont="1" applyAlignment="1">
      <alignment horizontal="center" vertical="center"/>
    </xf>
    <xf numFmtId="3" fontId="18" fillId="0" borderId="58" xfId="28" applyNumberFormat="1" applyFont="1" applyBorder="1" applyAlignment="1">
      <alignment horizontal="center" vertical="center" wrapText="1"/>
    </xf>
    <xf numFmtId="3" fontId="18" fillId="0" borderId="57" xfId="28" applyNumberFormat="1" applyFont="1" applyBorder="1" applyAlignment="1">
      <alignment horizontal="center" vertical="center" wrapText="1"/>
    </xf>
    <xf numFmtId="3" fontId="18" fillId="0" borderId="56" xfId="28" applyNumberFormat="1" applyFont="1" applyBorder="1" applyAlignment="1">
      <alignment horizontal="center" vertical="center" wrapText="1"/>
    </xf>
    <xf numFmtId="0" fontId="18" fillId="0" borderId="55" xfId="28" applyFont="1" applyBorder="1" applyAlignment="1">
      <alignment horizontal="center" vertical="center" wrapText="1"/>
    </xf>
    <xf numFmtId="0" fontId="18" fillId="0" borderId="58" xfId="28" applyFont="1" applyBorder="1" applyAlignment="1">
      <alignment horizontal="center" vertical="center" textRotation="90" wrapText="1"/>
    </xf>
    <xf numFmtId="0" fontId="18" fillId="0" borderId="57" xfId="28" applyFont="1" applyBorder="1" applyAlignment="1">
      <alignment horizontal="center" vertical="center" textRotation="90" wrapText="1"/>
    </xf>
    <xf numFmtId="0" fontId="18" fillId="0" borderId="59" xfId="28" applyFont="1" applyBorder="1" applyAlignment="1">
      <alignment horizontal="center" vertical="center" textRotation="90" wrapText="1"/>
    </xf>
    <xf numFmtId="0" fontId="18" fillId="0" borderId="56" xfId="28" applyFont="1" applyBorder="1" applyAlignment="1">
      <alignment horizontal="center" vertical="center" textRotation="90" wrapText="1"/>
    </xf>
    <xf numFmtId="0" fontId="18" fillId="0" borderId="55" xfId="28" applyFont="1" applyBorder="1" applyAlignment="1">
      <alignment horizontal="center" vertical="center" textRotation="90" wrapText="1"/>
    </xf>
    <xf numFmtId="3" fontId="18" fillId="0" borderId="62" xfId="28" applyNumberFormat="1" applyFont="1" applyBorder="1" applyAlignment="1">
      <alignment horizontal="center" vertical="center" wrapText="1"/>
    </xf>
    <xf numFmtId="3" fontId="18" fillId="0" borderId="64" xfId="28" applyNumberFormat="1" applyFont="1" applyBorder="1" applyAlignment="1">
      <alignment horizontal="center" vertical="center" wrapText="1"/>
    </xf>
    <xf numFmtId="3" fontId="18" fillId="0" borderId="63" xfId="28" applyNumberFormat="1" applyFont="1" applyBorder="1" applyAlignment="1">
      <alignment horizontal="center" vertical="center" wrapText="1"/>
    </xf>
    <xf numFmtId="3" fontId="18" fillId="13" borderId="23" xfId="36" applyNumberFormat="1" applyFont="1" applyFill="1" applyBorder="1" applyAlignment="1">
      <alignment horizontal="center" vertical="center" wrapText="1"/>
    </xf>
    <xf numFmtId="3" fontId="18" fillId="13" borderId="24" xfId="36" applyNumberFormat="1" applyFont="1" applyFill="1" applyBorder="1" applyAlignment="1">
      <alignment horizontal="center" vertical="center" wrapText="1"/>
    </xf>
    <xf numFmtId="3" fontId="18" fillId="13" borderId="26" xfId="36" applyNumberFormat="1" applyFont="1" applyFill="1" applyBorder="1" applyAlignment="1">
      <alignment horizontal="center" vertical="center" wrapText="1"/>
    </xf>
    <xf numFmtId="1" fontId="18" fillId="0" borderId="55" xfId="28" applyNumberFormat="1" applyFont="1" applyBorder="1" applyAlignment="1">
      <alignment horizontal="center" vertical="center" wrapText="1"/>
    </xf>
    <xf numFmtId="0" fontId="18" fillId="0" borderId="55" xfId="28" applyFont="1" applyBorder="1" applyAlignment="1">
      <alignment horizontal="left" vertical="center" wrapText="1"/>
    </xf>
    <xf numFmtId="0" fontId="18" fillId="12" borderId="57" xfId="36" applyFont="1" applyFill="1" applyBorder="1" applyAlignment="1">
      <alignment horizontal="center" vertical="center" wrapText="1"/>
    </xf>
    <xf numFmtId="3" fontId="21" fillId="13" borderId="20" xfId="36" applyNumberFormat="1" applyFont="1" applyFill="1" applyBorder="1" applyAlignment="1">
      <alignment horizontal="center" vertical="center"/>
    </xf>
    <xf numFmtId="3" fontId="18" fillId="15" borderId="20" xfId="36" applyNumberFormat="1" applyFont="1" applyFill="1" applyBorder="1" applyAlignment="1">
      <alignment horizontal="center" vertical="center" wrapText="1"/>
    </xf>
    <xf numFmtId="0" fontId="18" fillId="12" borderId="60" xfId="36" applyFont="1" applyFill="1" applyBorder="1" applyAlignment="1">
      <alignment horizontal="center" vertical="center" wrapText="1"/>
    </xf>
    <xf numFmtId="0" fontId="18" fillId="12" borderId="24" xfId="36" applyFont="1" applyFill="1" applyBorder="1" applyAlignment="1">
      <alignment horizontal="center" vertical="center" wrapText="1"/>
    </xf>
    <xf numFmtId="0" fontId="18" fillId="12" borderId="61" xfId="36" applyFont="1" applyFill="1" applyBorder="1" applyAlignment="1">
      <alignment horizontal="center" vertical="center" wrapText="1"/>
    </xf>
    <xf numFmtId="3" fontId="18" fillId="13" borderId="20" xfId="36" applyNumberFormat="1" applyFont="1" applyFill="1" applyBorder="1" applyAlignment="1">
      <alignment horizontal="center" vertical="center" wrapText="1"/>
    </xf>
    <xf numFmtId="0" fontId="18" fillId="12" borderId="56" xfId="36" applyFont="1" applyFill="1" applyBorder="1" applyAlignment="1">
      <alignment horizontal="center" vertical="center" wrapText="1"/>
    </xf>
    <xf numFmtId="0" fontId="18" fillId="12" borderId="22" xfId="36" applyFont="1" applyFill="1" applyBorder="1" applyAlignment="1">
      <alignment horizontal="center" vertical="center" wrapText="1"/>
    </xf>
    <xf numFmtId="0" fontId="18" fillId="12" borderId="20" xfId="36" applyFont="1" applyFill="1" applyBorder="1" applyAlignment="1">
      <alignment horizontal="center" vertical="center" wrapText="1"/>
    </xf>
    <xf numFmtId="0" fontId="18" fillId="12" borderId="23" xfId="28" applyFont="1" applyFill="1" applyBorder="1" applyAlignment="1">
      <alignment horizontal="center" vertical="center" wrapText="1"/>
    </xf>
    <xf numFmtId="0" fontId="18" fillId="12" borderId="24" xfId="28" applyFont="1" applyFill="1" applyBorder="1" applyAlignment="1">
      <alignment horizontal="center" vertical="center" wrapText="1"/>
    </xf>
    <xf numFmtId="0" fontId="18" fillId="12" borderId="26" xfId="28" applyFont="1" applyFill="1" applyBorder="1" applyAlignment="1">
      <alignment horizontal="center" vertical="center" wrapText="1"/>
    </xf>
    <xf numFmtId="0" fontId="21" fillId="12" borderId="30" xfId="36" applyFont="1" applyFill="1" applyBorder="1" applyAlignment="1">
      <alignment horizontal="center" vertical="center" wrapText="1"/>
    </xf>
    <xf numFmtId="0" fontId="21" fillId="12" borderId="19" xfId="36" applyFont="1" applyFill="1" applyBorder="1" applyAlignment="1">
      <alignment horizontal="center" vertical="center" wrapText="1"/>
    </xf>
    <xf numFmtId="0" fontId="21" fillId="12" borderId="24" xfId="36" applyFont="1" applyFill="1" applyBorder="1" applyAlignment="1">
      <alignment horizontal="center" vertical="center" wrapText="1"/>
    </xf>
    <xf numFmtId="0" fontId="21" fillId="12" borderId="26" xfId="36" applyFont="1" applyFill="1" applyBorder="1" applyAlignment="1">
      <alignment horizontal="center" vertical="center" wrapText="1"/>
    </xf>
    <xf numFmtId="0" fontId="21" fillId="12" borderId="20" xfId="36" applyFont="1" applyFill="1" applyBorder="1" applyAlignment="1">
      <alignment horizontal="center" vertical="center" wrapText="1"/>
    </xf>
    <xf numFmtId="0" fontId="18" fillId="12" borderId="30" xfId="36" applyFont="1" applyFill="1" applyBorder="1" applyAlignment="1">
      <alignment horizontal="center" vertical="center" wrapText="1"/>
    </xf>
    <xf numFmtId="0" fontId="18" fillId="12" borderId="19" xfId="36" applyFont="1" applyFill="1" applyBorder="1" applyAlignment="1">
      <alignment horizontal="center" vertical="center" wrapText="1"/>
    </xf>
    <xf numFmtId="0" fontId="18" fillId="12" borderId="26" xfId="36" applyFont="1" applyFill="1" applyBorder="1" applyAlignment="1">
      <alignment horizontal="center" vertical="center" wrapText="1"/>
    </xf>
    <xf numFmtId="0" fontId="66" fillId="16" borderId="23" xfId="28" applyFont="1" applyFill="1" applyBorder="1" applyAlignment="1">
      <alignment horizontal="center" vertical="center"/>
    </xf>
    <xf numFmtId="0" fontId="66" fillId="16" borderId="24" xfId="28" applyFont="1" applyFill="1" applyBorder="1" applyAlignment="1">
      <alignment horizontal="center" vertical="center"/>
    </xf>
    <xf numFmtId="0" fontId="66" fillId="16" borderId="26" xfId="28" applyFont="1" applyFill="1" applyBorder="1" applyAlignment="1">
      <alignment horizontal="center" vertical="center"/>
    </xf>
    <xf numFmtId="3" fontId="18" fillId="0" borderId="55" xfId="28" applyNumberFormat="1" applyFont="1" applyBorder="1" applyAlignment="1">
      <alignment horizontal="center" vertical="center" wrapText="1"/>
    </xf>
  </cellXfs>
  <cellStyles count="65">
    <cellStyle name="Stil 1" xfId="14" xr:uid="{00000000-0005-0000-0000-000000000000}"/>
    <cellStyle name="Гиперссылка 2" xfId="60" xr:uid="{00000000-0005-0000-0000-000001000000}"/>
    <cellStyle name="Обычный" xfId="0" builtinId="0"/>
    <cellStyle name="Обычный 10 2 2 2 8" xfId="22" xr:uid="{00000000-0005-0000-0000-000003000000}"/>
    <cellStyle name="Обычный 10 2 2 8" xfId="50" xr:uid="{00000000-0005-0000-0000-000004000000}"/>
    <cellStyle name="Обычный 10 2 3" xfId="24" xr:uid="{00000000-0005-0000-0000-000005000000}"/>
    <cellStyle name="Обычный 11 2" xfId="6" xr:uid="{00000000-0005-0000-0000-000006000000}"/>
    <cellStyle name="Обычный 11 2 3" xfId="13" xr:uid="{00000000-0005-0000-0000-000007000000}"/>
    <cellStyle name="Обычный 12" xfId="16" xr:uid="{00000000-0005-0000-0000-000008000000}"/>
    <cellStyle name="Обычный 14 2 2 8 2" xfId="29" xr:uid="{00000000-0005-0000-0000-000009000000}"/>
    <cellStyle name="Обычный 14 2 2 8 2 2" xfId="40" xr:uid="{00000000-0005-0000-0000-00000A000000}"/>
    <cellStyle name="Обычный 14 2 2 9 2" xfId="34" xr:uid="{00000000-0005-0000-0000-00000B000000}"/>
    <cellStyle name="Обычный 14 2 2 9 2 2" xfId="42" xr:uid="{00000000-0005-0000-0000-00000C000000}"/>
    <cellStyle name="Обычный 14 6 16 2" xfId="27" xr:uid="{00000000-0005-0000-0000-00000D000000}"/>
    <cellStyle name="Обычный 14 6 16 2 2" xfId="38" xr:uid="{00000000-0005-0000-0000-00000E000000}"/>
    <cellStyle name="Обычный 14 6 2 8 2" xfId="32" xr:uid="{00000000-0005-0000-0000-00000F000000}"/>
    <cellStyle name="Обычный 14 6 2 8 2 2" xfId="46" xr:uid="{00000000-0005-0000-0000-000010000000}"/>
    <cellStyle name="Обычный 14 6 3 5 2 2" xfId="48" xr:uid="{00000000-0005-0000-0000-000011000000}"/>
    <cellStyle name="Обычный 14 7 11 2" xfId="28" xr:uid="{00000000-0005-0000-0000-000012000000}"/>
    <cellStyle name="Обычный 14 7 11 2 2" xfId="39" xr:uid="{00000000-0005-0000-0000-000013000000}"/>
    <cellStyle name="Обычный 14 7 12 2" xfId="35" xr:uid="{00000000-0005-0000-0000-000014000000}"/>
    <cellStyle name="Обычный 14 7 12 2 2" xfId="43" xr:uid="{00000000-0005-0000-0000-000015000000}"/>
    <cellStyle name="Обычный 14 7 2 2" xfId="62" xr:uid="{00000000-0005-0000-0000-000016000000}"/>
    <cellStyle name="Обычный 14 7 2 7 2" xfId="31" xr:uid="{00000000-0005-0000-0000-000017000000}"/>
    <cellStyle name="Обычный 14 7 2 7 2 2" xfId="44" xr:uid="{00000000-0005-0000-0000-000018000000}"/>
    <cellStyle name="Обычный 14 7 2 8 2" xfId="37" xr:uid="{00000000-0005-0000-0000-000019000000}"/>
    <cellStyle name="Обычный 14 7 2 8 2 2" xfId="45" xr:uid="{00000000-0005-0000-0000-00001A000000}"/>
    <cellStyle name="Обычный 14 7 3 6 2" xfId="36" xr:uid="{00000000-0005-0000-0000-00001B000000}"/>
    <cellStyle name="Обычный 14 7 3 6 2 2" xfId="47" xr:uid="{00000000-0005-0000-0000-00001C000000}"/>
    <cellStyle name="Обычный 14 7 3 7 2" xfId="30" xr:uid="{00000000-0005-0000-0000-00001D000000}"/>
    <cellStyle name="Обычный 14 7 3 7 2 2" xfId="41" xr:uid="{00000000-0005-0000-0000-00001E000000}"/>
    <cellStyle name="Обычный 14 7 6 5 2" xfId="52" xr:uid="{00000000-0005-0000-0000-00001F000000}"/>
    <cellStyle name="Обычный 14 7 6 6" xfId="51" xr:uid="{00000000-0005-0000-0000-000020000000}"/>
    <cellStyle name="Обычный 14 8 5 2 2" xfId="49" xr:uid="{00000000-0005-0000-0000-000021000000}"/>
    <cellStyle name="Обычный 15 7 3 2" xfId="56" xr:uid="{00000000-0005-0000-0000-000022000000}"/>
    <cellStyle name="Обычный 19 2" xfId="15" xr:uid="{00000000-0005-0000-0000-000023000000}"/>
    <cellStyle name="Обычный 2 12 8 2" xfId="7" xr:uid="{00000000-0005-0000-0000-000024000000}"/>
    <cellStyle name="Обычный 2 12 8 2 2 2" xfId="61" xr:uid="{00000000-0005-0000-0000-000025000000}"/>
    <cellStyle name="Обычный 2 12 8 2 4" xfId="9" xr:uid="{00000000-0005-0000-0000-000026000000}"/>
    <cellStyle name="Обычный 2 12 8 2 5" xfId="20" xr:uid="{00000000-0005-0000-0000-000027000000}"/>
    <cellStyle name="Обычный 2 2" xfId="2" xr:uid="{00000000-0005-0000-0000-000028000000}"/>
    <cellStyle name="Обычный 24 2 2 4" xfId="17" xr:uid="{00000000-0005-0000-0000-000029000000}"/>
    <cellStyle name="Обычный 3" xfId="64" xr:uid="{7276AD95-4BB1-4CCC-B9FF-74E298843D81}"/>
    <cellStyle name="Обычный 3 6 2" xfId="59" xr:uid="{00000000-0005-0000-0000-00002A000000}"/>
    <cellStyle name="Обычный 34 3" xfId="19" xr:uid="{00000000-0005-0000-0000-00002B000000}"/>
    <cellStyle name="Обычный 35 2" xfId="54" xr:uid="{00000000-0005-0000-0000-00002C000000}"/>
    <cellStyle name="Обычный 4" xfId="5" xr:uid="{00000000-0005-0000-0000-00002D000000}"/>
    <cellStyle name="Обычный 4 10" xfId="53" xr:uid="{00000000-0005-0000-0000-00002E000000}"/>
    <cellStyle name="Обычный 4 2" xfId="4" xr:uid="{00000000-0005-0000-0000-00002F000000}"/>
    <cellStyle name="Обычный 4 2 2 2" xfId="3" xr:uid="{00000000-0005-0000-0000-000030000000}"/>
    <cellStyle name="Обычный 4 2 3 2" xfId="12" xr:uid="{00000000-0005-0000-0000-000031000000}"/>
    <cellStyle name="Обычный 41 2" xfId="33" xr:uid="{00000000-0005-0000-0000-000032000000}"/>
    <cellStyle name="Обычный 42" xfId="55" xr:uid="{00000000-0005-0000-0000-000033000000}"/>
    <cellStyle name="Обычный 8 2 6" xfId="18" xr:uid="{00000000-0005-0000-0000-000034000000}"/>
    <cellStyle name="Обычный 9 2" xfId="58" xr:uid="{00000000-0005-0000-0000-000035000000}"/>
    <cellStyle name="Обычный_141-вода" xfId="21" xr:uid="{00000000-0005-0000-0000-000036000000}"/>
    <cellStyle name="Обычный_142" xfId="23" xr:uid="{00000000-0005-0000-0000-000037000000}"/>
    <cellStyle name="Обычный_149-1" xfId="25" xr:uid="{00000000-0005-0000-0000-000038000000}"/>
    <cellStyle name="план гз" xfId="57" xr:uid="{00000000-0005-0000-0000-000039000000}"/>
    <cellStyle name="Финансовый" xfId="1" builtinId="3"/>
    <cellStyle name="Финансовый 2" xfId="63" xr:uid="{00000000-0005-0000-0000-00003B000000}"/>
    <cellStyle name="Финансовый 2 5 3 2" xfId="8" xr:uid="{00000000-0005-0000-0000-00003C000000}"/>
    <cellStyle name="Финансовый 2 5 3 2 4" xfId="11" xr:uid="{00000000-0005-0000-0000-00003D000000}"/>
    <cellStyle name="Финансовый 3" xfId="26" xr:uid="{00000000-0005-0000-0000-00003E000000}"/>
    <cellStyle name="Финансовый 5 2" xfId="10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\Users\User\Downloads\&#1046;&#1077;&#1082;&#1087;&#1077;%20&#1046;&#1077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"/>
      <sheetName val="111 "/>
      <sheetName val="113 "/>
      <sheetName val="111"/>
      <sheetName val="113"/>
      <sheetName val="121"/>
      <sheetName val="122"/>
      <sheetName val="139 рас"/>
      <sheetName val="124"/>
      <sheetName val="142"/>
      <sheetName val="ФОТ ДЕ"/>
      <sheetName val="3 мес"/>
      <sheetName val="144 с"/>
      <sheetName val="расш"/>
      <sheetName val="139-расш"/>
      <sheetName val="151-вода"/>
      <sheetName val="149 рас "/>
      <sheetName val="149 ДЕ"/>
      <sheetName val="151 вода ДЕ"/>
      <sheetName val="151-энергия"/>
      <sheetName val="151 отопление"/>
      <sheetName val="151 вода 2022"/>
      <sheetName val="151 элект  ДЕ"/>
      <sheetName val="151 элект 2022"/>
      <sheetName val="151 элект 2023"/>
      <sheetName val="151 отоп ДЕ"/>
      <sheetName val="151 ДТ 2022"/>
      <sheetName val="152 Связь ДЕ"/>
      <sheetName val="154"/>
      <sheetName val="159 Услуги ДЕ"/>
      <sheetName val="159"/>
      <sheetName val="Рас 149"/>
      <sheetName val="команд-АУП"/>
      <sheetName val="Финкалендарь"/>
      <sheetName val="трен"/>
      <sheetName val="спорт"/>
      <sheetName val="169 налоги"/>
      <sheetName val="159 Услуги 2022-2023 гг"/>
      <sheetName val="169 ндс"/>
      <sheetName val="трен ДЕ"/>
      <sheetName val="спорт ДЕ"/>
      <sheetName val="169 нал.имущ и землю ДЕ"/>
      <sheetName val="22 год"/>
      <sheetName val="22 мед"/>
      <sheetName val="22 товары"/>
      <sheetName val="22 вода"/>
      <sheetName val="22 электр"/>
      <sheetName val="22 отоп"/>
      <sheetName val="22 связь"/>
      <sheetName val="22 услуги"/>
      <sheetName val="22 налоги"/>
      <sheetName val="22 ндс"/>
    </sheetNames>
    <sheetDataSet>
      <sheetData sheetId="0"/>
      <sheetData sheetId="1">
        <row r="33">
          <cell r="C33">
            <v>1442588.1228407687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view="pageBreakPreview" topLeftCell="A16" zoomScaleNormal="100" zoomScaleSheetLayoutView="100" workbookViewId="0">
      <selection activeCell="A16" sqref="A1:XFD1048576"/>
    </sheetView>
  </sheetViews>
  <sheetFormatPr defaultRowHeight="15.75"/>
  <cols>
    <col min="1" max="1" width="6.42578125" style="484" customWidth="1"/>
    <col min="2" max="2" width="65.28515625" style="484" customWidth="1"/>
    <col min="3" max="3" width="19.42578125" style="484" customWidth="1"/>
    <col min="4" max="4" width="12.5703125" style="496" customWidth="1"/>
    <col min="5" max="5" width="13.7109375" style="496" customWidth="1"/>
    <col min="6" max="6" width="13" style="484" customWidth="1"/>
    <col min="7" max="7" width="13.42578125" style="484" customWidth="1"/>
    <col min="8" max="8" width="9.140625" style="484"/>
    <col min="9" max="9" width="15.85546875" style="484" customWidth="1"/>
    <col min="10" max="10" width="10.28515625" style="484" customWidth="1"/>
    <col min="11" max="11" width="9.140625" style="484"/>
    <col min="12" max="12" width="12.140625" style="484" customWidth="1"/>
    <col min="13" max="245" width="9.140625" style="484"/>
    <col min="246" max="246" width="6.42578125" style="484" customWidth="1"/>
    <col min="247" max="247" width="60.28515625" style="484" customWidth="1"/>
    <col min="248" max="248" width="19.42578125" style="484" customWidth="1"/>
    <col min="249" max="501" width="9.140625" style="484"/>
    <col min="502" max="502" width="6.42578125" style="484" customWidth="1"/>
    <col min="503" max="503" width="60.28515625" style="484" customWidth="1"/>
    <col min="504" max="504" width="19.42578125" style="484" customWidth="1"/>
    <col min="505" max="757" width="9.140625" style="484"/>
    <col min="758" max="758" width="6.42578125" style="484" customWidth="1"/>
    <col min="759" max="759" width="60.28515625" style="484" customWidth="1"/>
    <col min="760" max="760" width="19.42578125" style="484" customWidth="1"/>
    <col min="761" max="1013" width="9.140625" style="484"/>
    <col min="1014" max="1014" width="6.42578125" style="484" customWidth="1"/>
    <col min="1015" max="1015" width="60.28515625" style="484" customWidth="1"/>
    <col min="1016" max="1016" width="19.42578125" style="484" customWidth="1"/>
    <col min="1017" max="1269" width="9.140625" style="484"/>
    <col min="1270" max="1270" width="6.42578125" style="484" customWidth="1"/>
    <col min="1271" max="1271" width="60.28515625" style="484" customWidth="1"/>
    <col min="1272" max="1272" width="19.42578125" style="484" customWidth="1"/>
    <col min="1273" max="1525" width="9.140625" style="484"/>
    <col min="1526" max="1526" width="6.42578125" style="484" customWidth="1"/>
    <col min="1527" max="1527" width="60.28515625" style="484" customWidth="1"/>
    <col min="1528" max="1528" width="19.42578125" style="484" customWidth="1"/>
    <col min="1529" max="1781" width="9.140625" style="484"/>
    <col min="1782" max="1782" width="6.42578125" style="484" customWidth="1"/>
    <col min="1783" max="1783" width="60.28515625" style="484" customWidth="1"/>
    <col min="1784" max="1784" width="19.42578125" style="484" customWidth="1"/>
    <col min="1785" max="2037" width="9.140625" style="484"/>
    <col min="2038" max="2038" width="6.42578125" style="484" customWidth="1"/>
    <col min="2039" max="2039" width="60.28515625" style="484" customWidth="1"/>
    <col min="2040" max="2040" width="19.42578125" style="484" customWidth="1"/>
    <col min="2041" max="2293" width="9.140625" style="484"/>
    <col min="2294" max="2294" width="6.42578125" style="484" customWidth="1"/>
    <col min="2295" max="2295" width="60.28515625" style="484" customWidth="1"/>
    <col min="2296" max="2296" width="19.42578125" style="484" customWidth="1"/>
    <col min="2297" max="2549" width="9.140625" style="484"/>
    <col min="2550" max="2550" width="6.42578125" style="484" customWidth="1"/>
    <col min="2551" max="2551" width="60.28515625" style="484" customWidth="1"/>
    <col min="2552" max="2552" width="19.42578125" style="484" customWidth="1"/>
    <col min="2553" max="2805" width="9.140625" style="484"/>
    <col min="2806" max="2806" width="6.42578125" style="484" customWidth="1"/>
    <col min="2807" max="2807" width="60.28515625" style="484" customWidth="1"/>
    <col min="2808" max="2808" width="19.42578125" style="484" customWidth="1"/>
    <col min="2809" max="3061" width="9.140625" style="484"/>
    <col min="3062" max="3062" width="6.42578125" style="484" customWidth="1"/>
    <col min="3063" max="3063" width="60.28515625" style="484" customWidth="1"/>
    <col min="3064" max="3064" width="19.42578125" style="484" customWidth="1"/>
    <col min="3065" max="3317" width="9.140625" style="484"/>
    <col min="3318" max="3318" width="6.42578125" style="484" customWidth="1"/>
    <col min="3319" max="3319" width="60.28515625" style="484" customWidth="1"/>
    <col min="3320" max="3320" width="19.42578125" style="484" customWidth="1"/>
    <col min="3321" max="3573" width="9.140625" style="484"/>
    <col min="3574" max="3574" width="6.42578125" style="484" customWidth="1"/>
    <col min="3575" max="3575" width="60.28515625" style="484" customWidth="1"/>
    <col min="3576" max="3576" width="19.42578125" style="484" customWidth="1"/>
    <col min="3577" max="3829" width="9.140625" style="484"/>
    <col min="3830" max="3830" width="6.42578125" style="484" customWidth="1"/>
    <col min="3831" max="3831" width="60.28515625" style="484" customWidth="1"/>
    <col min="3832" max="3832" width="19.42578125" style="484" customWidth="1"/>
    <col min="3833" max="4085" width="9.140625" style="484"/>
    <col min="4086" max="4086" width="6.42578125" style="484" customWidth="1"/>
    <col min="4087" max="4087" width="60.28515625" style="484" customWidth="1"/>
    <col min="4088" max="4088" width="19.42578125" style="484" customWidth="1"/>
    <col min="4089" max="4341" width="9.140625" style="484"/>
    <col min="4342" max="4342" width="6.42578125" style="484" customWidth="1"/>
    <col min="4343" max="4343" width="60.28515625" style="484" customWidth="1"/>
    <col min="4344" max="4344" width="19.42578125" style="484" customWidth="1"/>
    <col min="4345" max="4597" width="9.140625" style="484"/>
    <col min="4598" max="4598" width="6.42578125" style="484" customWidth="1"/>
    <col min="4599" max="4599" width="60.28515625" style="484" customWidth="1"/>
    <col min="4600" max="4600" width="19.42578125" style="484" customWidth="1"/>
    <col min="4601" max="4853" width="9.140625" style="484"/>
    <col min="4854" max="4854" width="6.42578125" style="484" customWidth="1"/>
    <col min="4855" max="4855" width="60.28515625" style="484" customWidth="1"/>
    <col min="4856" max="4856" width="19.42578125" style="484" customWidth="1"/>
    <col min="4857" max="5109" width="9.140625" style="484"/>
    <col min="5110" max="5110" width="6.42578125" style="484" customWidth="1"/>
    <col min="5111" max="5111" width="60.28515625" style="484" customWidth="1"/>
    <col min="5112" max="5112" width="19.42578125" style="484" customWidth="1"/>
    <col min="5113" max="5365" width="9.140625" style="484"/>
    <col min="5366" max="5366" width="6.42578125" style="484" customWidth="1"/>
    <col min="5367" max="5367" width="60.28515625" style="484" customWidth="1"/>
    <col min="5368" max="5368" width="19.42578125" style="484" customWidth="1"/>
    <col min="5369" max="5621" width="9.140625" style="484"/>
    <col min="5622" max="5622" width="6.42578125" style="484" customWidth="1"/>
    <col min="5623" max="5623" width="60.28515625" style="484" customWidth="1"/>
    <col min="5624" max="5624" width="19.42578125" style="484" customWidth="1"/>
    <col min="5625" max="5877" width="9.140625" style="484"/>
    <col min="5878" max="5878" width="6.42578125" style="484" customWidth="1"/>
    <col min="5879" max="5879" width="60.28515625" style="484" customWidth="1"/>
    <col min="5880" max="5880" width="19.42578125" style="484" customWidth="1"/>
    <col min="5881" max="6133" width="9.140625" style="484"/>
    <col min="6134" max="6134" width="6.42578125" style="484" customWidth="1"/>
    <col min="6135" max="6135" width="60.28515625" style="484" customWidth="1"/>
    <col min="6136" max="6136" width="19.42578125" style="484" customWidth="1"/>
    <col min="6137" max="6389" width="9.140625" style="484"/>
    <col min="6390" max="6390" width="6.42578125" style="484" customWidth="1"/>
    <col min="6391" max="6391" width="60.28515625" style="484" customWidth="1"/>
    <col min="6392" max="6392" width="19.42578125" style="484" customWidth="1"/>
    <col min="6393" max="6645" width="9.140625" style="484"/>
    <col min="6646" max="6646" width="6.42578125" style="484" customWidth="1"/>
    <col min="6647" max="6647" width="60.28515625" style="484" customWidth="1"/>
    <col min="6648" max="6648" width="19.42578125" style="484" customWidth="1"/>
    <col min="6649" max="6901" width="9.140625" style="484"/>
    <col min="6902" max="6902" width="6.42578125" style="484" customWidth="1"/>
    <col min="6903" max="6903" width="60.28515625" style="484" customWidth="1"/>
    <col min="6904" max="6904" width="19.42578125" style="484" customWidth="1"/>
    <col min="6905" max="7157" width="9.140625" style="484"/>
    <col min="7158" max="7158" width="6.42578125" style="484" customWidth="1"/>
    <col min="7159" max="7159" width="60.28515625" style="484" customWidth="1"/>
    <col min="7160" max="7160" width="19.42578125" style="484" customWidth="1"/>
    <col min="7161" max="7413" width="9.140625" style="484"/>
    <col min="7414" max="7414" width="6.42578125" style="484" customWidth="1"/>
    <col min="7415" max="7415" width="60.28515625" style="484" customWidth="1"/>
    <col min="7416" max="7416" width="19.42578125" style="484" customWidth="1"/>
    <col min="7417" max="7669" width="9.140625" style="484"/>
    <col min="7670" max="7670" width="6.42578125" style="484" customWidth="1"/>
    <col min="7671" max="7671" width="60.28515625" style="484" customWidth="1"/>
    <col min="7672" max="7672" width="19.42578125" style="484" customWidth="1"/>
    <col min="7673" max="7925" width="9.140625" style="484"/>
    <col min="7926" max="7926" width="6.42578125" style="484" customWidth="1"/>
    <col min="7927" max="7927" width="60.28515625" style="484" customWidth="1"/>
    <col min="7928" max="7928" width="19.42578125" style="484" customWidth="1"/>
    <col min="7929" max="8181" width="9.140625" style="484"/>
    <col min="8182" max="8182" width="6.42578125" style="484" customWidth="1"/>
    <col min="8183" max="8183" width="60.28515625" style="484" customWidth="1"/>
    <col min="8184" max="8184" width="19.42578125" style="484" customWidth="1"/>
    <col min="8185" max="8437" width="9.140625" style="484"/>
    <col min="8438" max="8438" width="6.42578125" style="484" customWidth="1"/>
    <col min="8439" max="8439" width="60.28515625" style="484" customWidth="1"/>
    <col min="8440" max="8440" width="19.42578125" style="484" customWidth="1"/>
    <col min="8441" max="8693" width="9.140625" style="484"/>
    <col min="8694" max="8694" width="6.42578125" style="484" customWidth="1"/>
    <col min="8695" max="8695" width="60.28515625" style="484" customWidth="1"/>
    <col min="8696" max="8696" width="19.42578125" style="484" customWidth="1"/>
    <col min="8697" max="8949" width="9.140625" style="484"/>
    <col min="8950" max="8950" width="6.42578125" style="484" customWidth="1"/>
    <col min="8951" max="8951" width="60.28515625" style="484" customWidth="1"/>
    <col min="8952" max="8952" width="19.42578125" style="484" customWidth="1"/>
    <col min="8953" max="9205" width="9.140625" style="484"/>
    <col min="9206" max="9206" width="6.42578125" style="484" customWidth="1"/>
    <col min="9207" max="9207" width="60.28515625" style="484" customWidth="1"/>
    <col min="9208" max="9208" width="19.42578125" style="484" customWidth="1"/>
    <col min="9209" max="9461" width="9.140625" style="484"/>
    <col min="9462" max="9462" width="6.42578125" style="484" customWidth="1"/>
    <col min="9463" max="9463" width="60.28515625" style="484" customWidth="1"/>
    <col min="9464" max="9464" width="19.42578125" style="484" customWidth="1"/>
    <col min="9465" max="9717" width="9.140625" style="484"/>
    <col min="9718" max="9718" width="6.42578125" style="484" customWidth="1"/>
    <col min="9719" max="9719" width="60.28515625" style="484" customWidth="1"/>
    <col min="9720" max="9720" width="19.42578125" style="484" customWidth="1"/>
    <col min="9721" max="9973" width="9.140625" style="484"/>
    <col min="9974" max="9974" width="6.42578125" style="484" customWidth="1"/>
    <col min="9975" max="9975" width="60.28515625" style="484" customWidth="1"/>
    <col min="9976" max="9976" width="19.42578125" style="484" customWidth="1"/>
    <col min="9977" max="10229" width="9.140625" style="484"/>
    <col min="10230" max="10230" width="6.42578125" style="484" customWidth="1"/>
    <col min="10231" max="10231" width="60.28515625" style="484" customWidth="1"/>
    <col min="10232" max="10232" width="19.42578125" style="484" customWidth="1"/>
    <col min="10233" max="10485" width="9.140625" style="484"/>
    <col min="10486" max="10486" width="6.42578125" style="484" customWidth="1"/>
    <col min="10487" max="10487" width="60.28515625" style="484" customWidth="1"/>
    <col min="10488" max="10488" width="19.42578125" style="484" customWidth="1"/>
    <col min="10489" max="10741" width="9.140625" style="484"/>
    <col min="10742" max="10742" width="6.42578125" style="484" customWidth="1"/>
    <col min="10743" max="10743" width="60.28515625" style="484" customWidth="1"/>
    <col min="10744" max="10744" width="19.42578125" style="484" customWidth="1"/>
    <col min="10745" max="10997" width="9.140625" style="484"/>
    <col min="10998" max="10998" width="6.42578125" style="484" customWidth="1"/>
    <col min="10999" max="10999" width="60.28515625" style="484" customWidth="1"/>
    <col min="11000" max="11000" width="19.42578125" style="484" customWidth="1"/>
    <col min="11001" max="11253" width="9.140625" style="484"/>
    <col min="11254" max="11254" width="6.42578125" style="484" customWidth="1"/>
    <col min="11255" max="11255" width="60.28515625" style="484" customWidth="1"/>
    <col min="11256" max="11256" width="19.42578125" style="484" customWidth="1"/>
    <col min="11257" max="11509" width="9.140625" style="484"/>
    <col min="11510" max="11510" width="6.42578125" style="484" customWidth="1"/>
    <col min="11511" max="11511" width="60.28515625" style="484" customWidth="1"/>
    <col min="11512" max="11512" width="19.42578125" style="484" customWidth="1"/>
    <col min="11513" max="11765" width="9.140625" style="484"/>
    <col min="11766" max="11766" width="6.42578125" style="484" customWidth="1"/>
    <col min="11767" max="11767" width="60.28515625" style="484" customWidth="1"/>
    <col min="11768" max="11768" width="19.42578125" style="484" customWidth="1"/>
    <col min="11769" max="12021" width="9.140625" style="484"/>
    <col min="12022" max="12022" width="6.42578125" style="484" customWidth="1"/>
    <col min="12023" max="12023" width="60.28515625" style="484" customWidth="1"/>
    <col min="12024" max="12024" width="19.42578125" style="484" customWidth="1"/>
    <col min="12025" max="12277" width="9.140625" style="484"/>
    <col min="12278" max="12278" width="6.42578125" style="484" customWidth="1"/>
    <col min="12279" max="12279" width="60.28515625" style="484" customWidth="1"/>
    <col min="12280" max="12280" width="19.42578125" style="484" customWidth="1"/>
    <col min="12281" max="12533" width="9.140625" style="484"/>
    <col min="12534" max="12534" width="6.42578125" style="484" customWidth="1"/>
    <col min="12535" max="12535" width="60.28515625" style="484" customWidth="1"/>
    <col min="12536" max="12536" width="19.42578125" style="484" customWidth="1"/>
    <col min="12537" max="12789" width="9.140625" style="484"/>
    <col min="12790" max="12790" width="6.42578125" style="484" customWidth="1"/>
    <col min="12791" max="12791" width="60.28515625" style="484" customWidth="1"/>
    <col min="12792" max="12792" width="19.42578125" style="484" customWidth="1"/>
    <col min="12793" max="13045" width="9.140625" style="484"/>
    <col min="13046" max="13046" width="6.42578125" style="484" customWidth="1"/>
    <col min="13047" max="13047" width="60.28515625" style="484" customWidth="1"/>
    <col min="13048" max="13048" width="19.42578125" style="484" customWidth="1"/>
    <col min="13049" max="13301" width="9.140625" style="484"/>
    <col min="13302" max="13302" width="6.42578125" style="484" customWidth="1"/>
    <col min="13303" max="13303" width="60.28515625" style="484" customWidth="1"/>
    <col min="13304" max="13304" width="19.42578125" style="484" customWidth="1"/>
    <col min="13305" max="13557" width="9.140625" style="484"/>
    <col min="13558" max="13558" width="6.42578125" style="484" customWidth="1"/>
    <col min="13559" max="13559" width="60.28515625" style="484" customWidth="1"/>
    <col min="13560" max="13560" width="19.42578125" style="484" customWidth="1"/>
    <col min="13561" max="13813" width="9.140625" style="484"/>
    <col min="13814" max="13814" width="6.42578125" style="484" customWidth="1"/>
    <col min="13815" max="13815" width="60.28515625" style="484" customWidth="1"/>
    <col min="13816" max="13816" width="19.42578125" style="484" customWidth="1"/>
    <col min="13817" max="14069" width="9.140625" style="484"/>
    <col min="14070" max="14070" width="6.42578125" style="484" customWidth="1"/>
    <col min="14071" max="14071" width="60.28515625" style="484" customWidth="1"/>
    <col min="14072" max="14072" width="19.42578125" style="484" customWidth="1"/>
    <col min="14073" max="14325" width="9.140625" style="484"/>
    <col min="14326" max="14326" width="6.42578125" style="484" customWidth="1"/>
    <col min="14327" max="14327" width="60.28515625" style="484" customWidth="1"/>
    <col min="14328" max="14328" width="19.42578125" style="484" customWidth="1"/>
    <col min="14329" max="14581" width="9.140625" style="484"/>
    <col min="14582" max="14582" width="6.42578125" style="484" customWidth="1"/>
    <col min="14583" max="14583" width="60.28515625" style="484" customWidth="1"/>
    <col min="14584" max="14584" width="19.42578125" style="484" customWidth="1"/>
    <col min="14585" max="14837" width="9.140625" style="484"/>
    <col min="14838" max="14838" width="6.42578125" style="484" customWidth="1"/>
    <col min="14839" max="14839" width="60.28515625" style="484" customWidth="1"/>
    <col min="14840" max="14840" width="19.42578125" style="484" customWidth="1"/>
    <col min="14841" max="15093" width="9.140625" style="484"/>
    <col min="15094" max="15094" width="6.42578125" style="484" customWidth="1"/>
    <col min="15095" max="15095" width="60.28515625" style="484" customWidth="1"/>
    <col min="15096" max="15096" width="19.42578125" style="484" customWidth="1"/>
    <col min="15097" max="15349" width="9.140625" style="484"/>
    <col min="15350" max="15350" width="6.42578125" style="484" customWidth="1"/>
    <col min="15351" max="15351" width="60.28515625" style="484" customWidth="1"/>
    <col min="15352" max="15352" width="19.42578125" style="484" customWidth="1"/>
    <col min="15353" max="15605" width="9.140625" style="484"/>
    <col min="15606" max="15606" width="6.42578125" style="484" customWidth="1"/>
    <col min="15607" max="15607" width="60.28515625" style="484" customWidth="1"/>
    <col min="15608" max="15608" width="19.42578125" style="484" customWidth="1"/>
    <col min="15609" max="15861" width="9.140625" style="484"/>
    <col min="15862" max="15862" width="6.42578125" style="484" customWidth="1"/>
    <col min="15863" max="15863" width="60.28515625" style="484" customWidth="1"/>
    <col min="15864" max="15864" width="19.42578125" style="484" customWidth="1"/>
    <col min="15865" max="16117" width="9.140625" style="484"/>
    <col min="16118" max="16118" width="6.42578125" style="484" customWidth="1"/>
    <col min="16119" max="16119" width="60.28515625" style="484" customWidth="1"/>
    <col min="16120" max="16120" width="19.42578125" style="484" customWidth="1"/>
    <col min="16121" max="16373" width="9.140625" style="484"/>
    <col min="16374" max="16374" width="8.85546875" style="484" customWidth="1"/>
    <col min="16375" max="16375" width="9.140625" style="484"/>
    <col min="16376" max="16384" width="8.85546875" style="484" customWidth="1"/>
  </cols>
  <sheetData>
    <row r="1" spans="1:10">
      <c r="A1" s="1508" t="s">
        <v>0</v>
      </c>
      <c r="B1" s="1508"/>
      <c r="C1" s="1508"/>
      <c r="D1" s="483"/>
      <c r="E1" s="483"/>
    </row>
    <row r="2" spans="1:10">
      <c r="A2" s="1509" t="s">
        <v>1</v>
      </c>
      <c r="B2" s="1509"/>
      <c r="C2" s="1509"/>
      <c r="D2" s="1"/>
      <c r="E2" s="1"/>
    </row>
    <row r="3" spans="1:10" ht="16.5" thickBot="1">
      <c r="A3" s="474"/>
      <c r="B3" s="474"/>
      <c r="C3" s="485"/>
      <c r="D3" s="486"/>
      <c r="E3" s="486"/>
    </row>
    <row r="4" spans="1:10">
      <c r="A4" s="1510" t="s">
        <v>2</v>
      </c>
      <c r="B4" s="1512" t="s">
        <v>3</v>
      </c>
      <c r="C4" s="487" t="s">
        <v>4</v>
      </c>
      <c r="D4" s="1"/>
      <c r="E4" s="1"/>
    </row>
    <row r="5" spans="1:10" ht="16.5" thickBot="1">
      <c r="A5" s="1511"/>
      <c r="B5" s="1513"/>
      <c r="C5" s="488" t="s">
        <v>5</v>
      </c>
      <c r="D5" s="1"/>
      <c r="E5" s="1"/>
    </row>
    <row r="6" spans="1:10">
      <c r="A6" s="1514">
        <v>1</v>
      </c>
      <c r="B6" s="536" t="s">
        <v>6</v>
      </c>
      <c r="C6" s="538">
        <f>C7+C8</f>
        <v>573302.22461048409</v>
      </c>
      <c r="D6" s="2">
        <v>111</v>
      </c>
      <c r="E6" s="2"/>
      <c r="F6" s="489"/>
      <c r="J6" s="489"/>
    </row>
    <row r="7" spans="1:10">
      <c r="A7" s="1515"/>
      <c r="B7" s="537" t="s">
        <v>7</v>
      </c>
      <c r="C7" s="535">
        <f>'111 ФОТ 2023 147 ед.'!AJ99/1000</f>
        <v>557932.13677673414</v>
      </c>
      <c r="D7" s="2"/>
      <c r="E7" s="2"/>
      <c r="F7" s="484">
        <v>1126311</v>
      </c>
      <c r="G7" s="491">
        <f>F7-C7</f>
        <v>568378.86322326586</v>
      </c>
      <c r="J7" s="492">
        <v>448381.51827179873</v>
      </c>
    </row>
    <row r="8" spans="1:10" ht="16.5" thickBot="1">
      <c r="A8" s="1516"/>
      <c r="B8" s="501" t="s">
        <v>8</v>
      </c>
      <c r="C8" s="535">
        <f>'111 ФОТ 2023 147 ед.'!AH99/1000</f>
        <v>15370.08783375</v>
      </c>
      <c r="D8" s="2"/>
      <c r="E8" s="2"/>
      <c r="F8" s="484">
        <v>40328</v>
      </c>
      <c r="G8" s="491">
        <f>F8-C8</f>
        <v>24957.91216625</v>
      </c>
      <c r="J8" s="492">
        <v>15177.327685500004</v>
      </c>
    </row>
    <row r="9" spans="1:10">
      <c r="A9" s="1505">
        <v>2</v>
      </c>
      <c r="B9" s="536" t="s">
        <v>9</v>
      </c>
      <c r="C9" s="493">
        <f>SUM(C10:C14)</f>
        <v>72997.143849363812</v>
      </c>
      <c r="D9" s="2"/>
      <c r="E9" s="2"/>
      <c r="F9" s="494"/>
      <c r="G9" s="491">
        <f>F9-C9</f>
        <v>-72997.143849363812</v>
      </c>
      <c r="J9" s="492"/>
    </row>
    <row r="10" spans="1:10" ht="31.5">
      <c r="A10" s="1506"/>
      <c r="B10" s="537" t="s">
        <v>10</v>
      </c>
      <c r="C10" s="535">
        <f>C7*1.5%</f>
        <v>8368.9820516510117</v>
      </c>
      <c r="D10" s="2">
        <v>111</v>
      </c>
      <c r="E10" s="471">
        <f>C7*1.5%</f>
        <v>8368.9820516510117</v>
      </c>
      <c r="J10" s="492"/>
    </row>
    <row r="11" spans="1:10">
      <c r="A11" s="1506"/>
      <c r="B11" s="537" t="s">
        <v>11</v>
      </c>
      <c r="C11" s="535">
        <f>C7*0.9*0.06</f>
        <v>30128.335385943643</v>
      </c>
      <c r="D11" s="2">
        <v>121</v>
      </c>
      <c r="E11" s="471">
        <f>C7*0.9*0.06</f>
        <v>30128.335385943643</v>
      </c>
      <c r="F11" s="484">
        <v>60820</v>
      </c>
      <c r="J11" s="492">
        <v>24212.601986677131</v>
      </c>
    </row>
    <row r="12" spans="1:10">
      <c r="A12" s="1506"/>
      <c r="B12" s="537" t="s">
        <v>12</v>
      </c>
      <c r="C12" s="535">
        <f>C7*0.9*0.035</f>
        <v>17574.862308467127</v>
      </c>
      <c r="D12" s="2">
        <v>122</v>
      </c>
      <c r="E12" s="471">
        <f>C7*0.9*0.035</f>
        <v>17574.862308467127</v>
      </c>
      <c r="F12" s="491">
        <v>35478</v>
      </c>
      <c r="J12" s="492">
        <v>14124.017825561661</v>
      </c>
    </row>
    <row r="13" spans="1:10">
      <c r="A13" s="1506"/>
      <c r="B13" s="537" t="s">
        <v>13</v>
      </c>
      <c r="C13" s="535">
        <f>C7*0.03</f>
        <v>16737.964103302023</v>
      </c>
      <c r="D13" s="2">
        <v>124</v>
      </c>
      <c r="E13" s="471">
        <f>C7*0.03</f>
        <v>16737.964103302023</v>
      </c>
      <c r="F13" s="484">
        <v>33788</v>
      </c>
      <c r="J13" s="492">
        <v>13451.445548153961</v>
      </c>
    </row>
    <row r="14" spans="1:10" ht="16.5" thickBot="1">
      <c r="A14" s="1507"/>
      <c r="B14" s="501" t="s">
        <v>14</v>
      </c>
      <c r="C14" s="495">
        <f>'123 трансп  '!W16</f>
        <v>187</v>
      </c>
      <c r="D14" s="2">
        <v>123</v>
      </c>
      <c r="F14" s="484">
        <v>993</v>
      </c>
      <c r="J14" s="492"/>
    </row>
    <row r="15" spans="1:10" ht="32.25" thickBot="1">
      <c r="A15" s="497">
        <v>3</v>
      </c>
      <c r="B15" s="498" t="s">
        <v>15</v>
      </c>
      <c r="C15" s="541">
        <v>7000</v>
      </c>
      <c r="D15" s="2">
        <v>142</v>
      </c>
      <c r="E15" s="2"/>
      <c r="F15" s="484">
        <v>7468</v>
      </c>
      <c r="J15" s="492">
        <v>7469</v>
      </c>
    </row>
    <row r="16" spans="1:10">
      <c r="A16" s="1517">
        <v>4</v>
      </c>
      <c r="B16" s="499" t="s">
        <v>16</v>
      </c>
      <c r="C16" s="500" t="str">
        <f>C17</f>
        <v xml:space="preserve"> </v>
      </c>
      <c r="D16" s="2"/>
      <c r="E16" s="2"/>
      <c r="J16" s="492"/>
    </row>
    <row r="17" spans="1:10" ht="16.5" thickBot="1">
      <c r="A17" s="1518"/>
      <c r="B17" s="501" t="s">
        <v>17</v>
      </c>
      <c r="C17" s="473" t="str">
        <f>'144 ГСМ '!J15</f>
        <v xml:space="preserve"> </v>
      </c>
      <c r="D17" s="2">
        <v>144</v>
      </c>
      <c r="E17" s="2"/>
      <c r="F17" s="484">
        <v>310848</v>
      </c>
      <c r="J17" s="502">
        <v>202764.79999999999</v>
      </c>
    </row>
    <row r="18" spans="1:10">
      <c r="A18" s="1505">
        <v>5</v>
      </c>
      <c r="B18" s="503" t="s">
        <v>18</v>
      </c>
      <c r="C18" s="500" t="e">
        <f>SUM(C19:C20)</f>
        <v>#REF!</v>
      </c>
      <c r="D18" s="504">
        <v>149</v>
      </c>
      <c r="E18" s="2"/>
      <c r="J18" s="492"/>
    </row>
    <row r="19" spans="1:10">
      <c r="A19" s="1506"/>
      <c r="B19" s="505" t="s">
        <v>19</v>
      </c>
      <c r="C19" s="506" t="e">
        <f>'149 экипировка 2023'!#REF!</f>
        <v>#REF!</v>
      </c>
      <c r="D19" s="484"/>
      <c r="E19" s="504"/>
      <c r="J19" s="492"/>
    </row>
    <row r="20" spans="1:10" s="508" customFormat="1" ht="15.75" customHeight="1" thickBot="1">
      <c r="A20" s="1507"/>
      <c r="B20" s="507" t="s">
        <v>477</v>
      </c>
      <c r="C20" s="542">
        <v>9000</v>
      </c>
      <c r="D20" s="472">
        <v>9000</v>
      </c>
      <c r="I20" s="509"/>
    </row>
    <row r="21" spans="1:10">
      <c r="A21" s="1505">
        <v>6</v>
      </c>
      <c r="B21" s="499" t="s">
        <v>20</v>
      </c>
      <c r="C21" s="500" t="e">
        <f>SUM(C22:C24)</f>
        <v>#REF!</v>
      </c>
      <c r="D21" s="504">
        <v>151</v>
      </c>
      <c r="E21" s="504"/>
      <c r="F21" s="484">
        <v>27890</v>
      </c>
      <c r="J21" s="492">
        <v>21149.5</v>
      </c>
    </row>
    <row r="22" spans="1:10">
      <c r="A22" s="1506"/>
      <c r="B22" s="510" t="s">
        <v>21</v>
      </c>
      <c r="C22" s="511" t="e">
        <f>#REF!</f>
        <v>#REF!</v>
      </c>
      <c r="D22" s="512"/>
      <c r="E22" s="512"/>
      <c r="F22" s="484">
        <v>143221</v>
      </c>
      <c r="J22" s="492">
        <v>80855.039999999994</v>
      </c>
    </row>
    <row r="23" spans="1:10">
      <c r="A23" s="1506"/>
      <c r="B23" s="513" t="s">
        <v>22</v>
      </c>
      <c r="C23" s="511" t="e">
        <f>#REF!</f>
        <v>#REF!</v>
      </c>
      <c r="D23" s="512"/>
      <c r="E23" s="512"/>
      <c r="F23" s="484">
        <v>656683</v>
      </c>
      <c r="J23" s="492">
        <v>50000</v>
      </c>
    </row>
    <row r="24" spans="1:10" ht="16.5" thickBot="1">
      <c r="A24" s="1507"/>
      <c r="B24" s="514" t="s">
        <v>23</v>
      </c>
      <c r="C24" s="473" t="e">
        <f>#REF!</f>
        <v>#REF!</v>
      </c>
      <c r="D24" s="512"/>
      <c r="J24" s="492"/>
    </row>
    <row r="25" spans="1:10">
      <c r="A25" s="1517">
        <v>7</v>
      </c>
      <c r="B25" s="515" t="s">
        <v>24</v>
      </c>
      <c r="C25" s="500" t="e">
        <f>C26</f>
        <v>#REF!</v>
      </c>
      <c r="D25" s="496">
        <v>152</v>
      </c>
      <c r="F25" s="484">
        <v>460092</v>
      </c>
      <c r="I25" s="516">
        <v>102000</v>
      </c>
      <c r="J25" s="492">
        <v>151631</v>
      </c>
    </row>
    <row r="26" spans="1:10" ht="16.5" thickBot="1">
      <c r="A26" s="1518"/>
      <c r="B26" s="490" t="s">
        <v>24</v>
      </c>
      <c r="C26" s="473" t="e">
        <f>#REF!</f>
        <v>#REF!</v>
      </c>
      <c r="F26" s="491">
        <f>SUM(F7:F25)</f>
        <v>2903920</v>
      </c>
      <c r="I26" s="491" t="e">
        <f>#REF!+#REF!+#REF!+I25</f>
        <v>#REF!</v>
      </c>
      <c r="J26" s="491">
        <f>SUM(J7:J25)</f>
        <v>1029216.2513176915</v>
      </c>
    </row>
    <row r="27" spans="1:10">
      <c r="A27" s="1517">
        <v>8</v>
      </c>
      <c r="B27" s="515" t="s">
        <v>25</v>
      </c>
      <c r="C27" s="500" t="e">
        <f>SUM(C28)</f>
        <v>#REF!</v>
      </c>
      <c r="D27" s="496">
        <v>159</v>
      </c>
      <c r="F27" s="517"/>
      <c r="J27" s="491">
        <f>[1]расчет!$C$33</f>
        <v>1442588.1228407687</v>
      </c>
    </row>
    <row r="28" spans="1:10" ht="32.25" thickBot="1">
      <c r="A28" s="1518"/>
      <c r="B28" s="518" t="s">
        <v>26</v>
      </c>
      <c r="C28" s="542" t="e">
        <f>'159 услуги '!#REF!</f>
        <v>#REF!</v>
      </c>
      <c r="G28" s="484" t="s">
        <v>27</v>
      </c>
      <c r="J28" s="491">
        <f>J26-J27</f>
        <v>-413371.87152307713</v>
      </c>
    </row>
    <row r="29" spans="1:10">
      <c r="A29" s="1517">
        <v>9</v>
      </c>
      <c r="B29" s="519" t="s">
        <v>28</v>
      </c>
      <c r="C29" s="520">
        <f>SUM(C30:C31)</f>
        <v>90879.147999999986</v>
      </c>
      <c r="D29" s="496">
        <v>161</v>
      </c>
      <c r="G29" s="521" t="e">
        <f>#REF!</f>
        <v>#REF!</v>
      </c>
    </row>
    <row r="30" spans="1:10" ht="31.5">
      <c r="A30" s="1520"/>
      <c r="B30" s="522" t="s">
        <v>29</v>
      </c>
      <c r="C30" s="470">
        <f>'161 команд'!R105/1000</f>
        <v>19442.146000000001</v>
      </c>
      <c r="D30" s="540"/>
      <c r="F30" s="523"/>
      <c r="G30" s="524"/>
      <c r="H30" s="524"/>
      <c r="I30" s="523"/>
    </row>
    <row r="31" spans="1:10" ht="32.25" thickBot="1">
      <c r="A31" s="1518"/>
      <c r="B31" s="525" t="s">
        <v>30</v>
      </c>
      <c r="C31" s="470">
        <f>'161 команд'!AD105/1000</f>
        <v>71437.001999999993</v>
      </c>
      <c r="D31" s="540"/>
      <c r="E31" s="2"/>
      <c r="F31" s="523"/>
      <c r="G31" s="523"/>
      <c r="H31" s="523"/>
      <c r="I31" s="523"/>
    </row>
    <row r="32" spans="1:10">
      <c r="A32" s="1521">
        <v>10</v>
      </c>
      <c r="B32" s="526" t="s">
        <v>31</v>
      </c>
      <c r="C32" s="520" t="e">
        <f>SUM(C33:C39)</f>
        <v>#REF!</v>
      </c>
      <c r="D32" s="3">
        <v>169</v>
      </c>
      <c r="E32" s="3"/>
    </row>
    <row r="33" spans="1:6">
      <c r="A33" s="1522"/>
      <c r="B33" s="527" t="s">
        <v>32</v>
      </c>
      <c r="C33" s="506">
        <f>'169 спортсм'!AE124/1000</f>
        <v>454727</v>
      </c>
      <c r="D33" s="512">
        <f>C30+C31+C33</f>
        <v>545606.14800000004</v>
      </c>
      <c r="E33" s="512"/>
      <c r="F33" s="491"/>
    </row>
    <row r="34" spans="1:6">
      <c r="A34" s="1522"/>
      <c r="B34" s="543" t="s">
        <v>492</v>
      </c>
      <c r="C34" s="544">
        <v>900</v>
      </c>
      <c r="D34" s="512"/>
      <c r="E34" s="512"/>
      <c r="F34" s="491"/>
    </row>
    <row r="35" spans="1:6">
      <c r="A35" s="1522"/>
      <c r="B35" s="528" t="s">
        <v>33</v>
      </c>
      <c r="C35" s="506">
        <f>'169 налог транс'!L10</f>
        <v>86.072000000000003</v>
      </c>
      <c r="D35" s="2"/>
      <c r="E35" s="2"/>
    </row>
    <row r="36" spans="1:6">
      <c r="A36" s="1522"/>
      <c r="B36" s="528" t="s">
        <v>34</v>
      </c>
      <c r="C36" s="506">
        <f>'169 налог на имущ'!C26</f>
        <v>185</v>
      </c>
      <c r="D36" s="2"/>
      <c r="E36" s="2"/>
    </row>
    <row r="37" spans="1:6">
      <c r="A37" s="1522"/>
      <c r="B37" s="528" t="s">
        <v>35</v>
      </c>
      <c r="C37" s="506">
        <f>'169 налог на имущ'!C14</f>
        <v>8832</v>
      </c>
      <c r="D37" s="2"/>
      <c r="E37" s="2"/>
    </row>
    <row r="38" spans="1:6">
      <c r="A38" s="1522"/>
      <c r="B38" s="528" t="s">
        <v>36</v>
      </c>
      <c r="C38" s="506" t="e">
        <f>#REF!</f>
        <v>#REF!</v>
      </c>
    </row>
    <row r="39" spans="1:6" ht="16.5" thickBot="1">
      <c r="A39" s="1523"/>
      <c r="B39" s="529" t="s">
        <v>37</v>
      </c>
      <c r="C39" s="530">
        <v>187653</v>
      </c>
      <c r="D39" s="531">
        <f>1751428/1.12-1751428</f>
        <v>-187653.00000000023</v>
      </c>
    </row>
    <row r="40" spans="1:6" ht="16.5" thickBot="1">
      <c r="A40" s="488"/>
      <c r="B40" s="532" t="s">
        <v>38</v>
      </c>
      <c r="C40" s="539" t="e">
        <f>C6+C9+C15+C16+C18+C21+C25+C27+C29+C32</f>
        <v>#VALUE!</v>
      </c>
      <c r="E40" s="533"/>
    </row>
    <row r="41" spans="1:6">
      <c r="A41" s="524"/>
      <c r="C41" s="534">
        <v>1751428</v>
      </c>
      <c r="D41" s="534">
        <v>6946714</v>
      </c>
      <c r="E41" s="512" t="e">
        <f>C40+#REF!</f>
        <v>#VALUE!</v>
      </c>
      <c r="F41" s="491" t="e">
        <f>E41-D41</f>
        <v>#VALUE!</v>
      </c>
    </row>
    <row r="42" spans="1:6">
      <c r="C42" s="534" t="e">
        <f>C40-C41</f>
        <v>#VALUE!</v>
      </c>
    </row>
    <row r="43" spans="1:6">
      <c r="A43" s="1519" t="s">
        <v>39</v>
      </c>
      <c r="B43" s="1519"/>
      <c r="C43" s="1519"/>
      <c r="D43" s="483"/>
      <c r="E43" s="483"/>
    </row>
    <row r="44" spans="1:6">
      <c r="A44" s="523"/>
      <c r="B44" s="523"/>
      <c r="C44" s="523"/>
      <c r="D44" s="483"/>
      <c r="E44" s="483"/>
    </row>
    <row r="45" spans="1:6">
      <c r="A45" s="116" t="s">
        <v>40</v>
      </c>
      <c r="B45" s="116"/>
      <c r="C45" s="116"/>
      <c r="D45" s="483"/>
      <c r="E45" s="483"/>
    </row>
    <row r="46" spans="1:6">
      <c r="A46" s="524"/>
    </row>
  </sheetData>
  <mergeCells count="14">
    <mergeCell ref="A16:A17"/>
    <mergeCell ref="A43:C43"/>
    <mergeCell ref="A21:A24"/>
    <mergeCell ref="A25:A26"/>
    <mergeCell ref="A27:A28"/>
    <mergeCell ref="A29:A31"/>
    <mergeCell ref="A32:A39"/>
    <mergeCell ref="A18:A20"/>
    <mergeCell ref="A9:A14"/>
    <mergeCell ref="A1:C1"/>
    <mergeCell ref="A2:C2"/>
    <mergeCell ref="A4:A5"/>
    <mergeCell ref="B4:B5"/>
    <mergeCell ref="A6:A8"/>
  </mergeCell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30"/>
  <sheetViews>
    <sheetView view="pageBreakPreview" topLeftCell="B13" zoomScaleNormal="100" zoomScaleSheetLayoutView="100" workbookViewId="0">
      <selection activeCell="G16" sqref="G16"/>
    </sheetView>
  </sheetViews>
  <sheetFormatPr defaultColWidth="9.140625" defaultRowHeight="15.75"/>
  <cols>
    <col min="1" max="1" width="40.140625" style="682" customWidth="1"/>
    <col min="2" max="2" width="20.85546875" style="682" customWidth="1"/>
    <col min="3" max="3" width="18.42578125" style="682" customWidth="1"/>
    <col min="4" max="4" width="14.85546875" style="681" customWidth="1"/>
    <col min="5" max="7" width="17" style="681" customWidth="1"/>
    <col min="8" max="16384" width="9.140625" style="681"/>
  </cols>
  <sheetData>
    <row r="2" spans="1:7" ht="37.5" customHeight="1">
      <c r="A2" s="1601" t="s">
        <v>1499</v>
      </c>
      <c r="B2" s="1601"/>
      <c r="C2" s="1601"/>
      <c r="D2" s="1601"/>
      <c r="E2" s="1601"/>
      <c r="F2" s="1601"/>
      <c r="G2" s="1601"/>
    </row>
    <row r="3" spans="1:7" ht="18" customHeight="1">
      <c r="A3" s="1601" t="s">
        <v>672</v>
      </c>
      <c r="B3" s="1601"/>
      <c r="C3" s="1601"/>
      <c r="D3" s="1601"/>
      <c r="E3" s="1601"/>
      <c r="F3" s="1601"/>
      <c r="G3" s="1601"/>
    </row>
    <row r="4" spans="1:7" ht="37.5" customHeight="1">
      <c r="A4" s="892"/>
      <c r="B4" s="893"/>
      <c r="C4" s="893"/>
      <c r="D4" s="893"/>
      <c r="E4" s="893"/>
      <c r="F4" s="1235"/>
      <c r="G4" s="1235"/>
    </row>
    <row r="5" spans="1:7" s="690" customFormat="1" ht="57">
      <c r="A5" s="685" t="s">
        <v>199</v>
      </c>
      <c r="B5" s="1603" t="s">
        <v>628</v>
      </c>
      <c r="C5" s="1604"/>
      <c r="D5" s="689" t="s">
        <v>220</v>
      </c>
      <c r="E5" s="671" t="s">
        <v>1283</v>
      </c>
      <c r="F5" s="671" t="s">
        <v>1496</v>
      </c>
      <c r="G5" s="671" t="s">
        <v>1497</v>
      </c>
    </row>
    <row r="6" spans="1:7" s="693" customFormat="1">
      <c r="A6" s="691">
        <v>1</v>
      </c>
      <c r="B6" s="1602">
        <v>2</v>
      </c>
      <c r="C6" s="1602"/>
      <c r="D6" s="692">
        <v>3</v>
      </c>
      <c r="E6" s="692">
        <v>4</v>
      </c>
      <c r="F6" s="692">
        <v>4</v>
      </c>
      <c r="G6" s="692">
        <v>4</v>
      </c>
    </row>
    <row r="7" spans="1:7">
      <c r="A7" s="694" t="s">
        <v>221</v>
      </c>
      <c r="B7" s="1602" t="s">
        <v>629</v>
      </c>
      <c r="C7" s="1602"/>
      <c r="D7" s="695" t="s">
        <v>223</v>
      </c>
      <c r="E7" s="695" t="s">
        <v>224</v>
      </c>
      <c r="F7" s="695" t="s">
        <v>224</v>
      </c>
      <c r="G7" s="695" t="s">
        <v>224</v>
      </c>
    </row>
    <row r="8" spans="1:7" ht="31.5">
      <c r="A8" s="694" t="s">
        <v>630</v>
      </c>
      <c r="B8" s="1602"/>
      <c r="C8" s="1602"/>
      <c r="D8" s="686"/>
      <c r="E8" s="687"/>
      <c r="F8" s="687"/>
      <c r="G8" s="687"/>
    </row>
    <row r="9" spans="1:7">
      <c r="A9" s="694" t="s">
        <v>631</v>
      </c>
      <c r="B9" s="1602"/>
      <c r="C9" s="1602"/>
      <c r="D9" s="686"/>
      <c r="E9" s="687"/>
      <c r="F9" s="687"/>
      <c r="G9" s="687"/>
    </row>
    <row r="10" spans="1:7">
      <c r="A10" s="694" t="s">
        <v>632</v>
      </c>
      <c r="B10" s="1602"/>
      <c r="C10" s="1602"/>
      <c r="D10" s="686"/>
      <c r="E10" s="687"/>
      <c r="F10" s="687"/>
      <c r="G10" s="687"/>
    </row>
    <row r="11" spans="1:7">
      <c r="A11" s="694" t="s">
        <v>633</v>
      </c>
      <c r="B11" s="1602"/>
      <c r="C11" s="1602"/>
      <c r="D11" s="696"/>
      <c r="E11" s="697"/>
      <c r="F11" s="697"/>
      <c r="G11" s="697"/>
    </row>
    <row r="12" spans="1:7" ht="31.5">
      <c r="A12" s="694" t="s">
        <v>634</v>
      </c>
      <c r="B12" s="1602">
        <v>11.5</v>
      </c>
      <c r="C12" s="1602"/>
      <c r="D12" s="686">
        <v>2</v>
      </c>
      <c r="E12" s="702">
        <f>B12*D12*3932/1000</f>
        <v>90.436000000000007</v>
      </c>
      <c r="F12" s="702">
        <f>B12*D12*4129/1000</f>
        <v>94.966999999999999</v>
      </c>
      <c r="G12" s="702">
        <f>B12*D12*4335/1000</f>
        <v>99.704999999999998</v>
      </c>
    </row>
    <row r="13" spans="1:7" ht="31.5">
      <c r="A13" s="694" t="s">
        <v>635</v>
      </c>
      <c r="B13" s="1602"/>
      <c r="C13" s="1602"/>
      <c r="D13" s="696"/>
      <c r="E13" s="697"/>
      <c r="F13" s="697"/>
      <c r="G13" s="697"/>
    </row>
    <row r="14" spans="1:7">
      <c r="A14" s="694" t="s">
        <v>636</v>
      </c>
      <c r="B14" s="1602"/>
      <c r="C14" s="1602"/>
      <c r="D14" s="686"/>
      <c r="E14" s="687"/>
      <c r="F14" s="687"/>
      <c r="G14" s="687"/>
    </row>
    <row r="15" spans="1:7">
      <c r="A15" s="694" t="s">
        <v>637</v>
      </c>
      <c r="B15" s="1602"/>
      <c r="C15" s="1602"/>
      <c r="D15" s="698"/>
      <c r="E15" s="744"/>
      <c r="F15" s="744"/>
      <c r="G15" s="744"/>
    </row>
    <row r="16" spans="1:7" s="690" customFormat="1">
      <c r="A16" s="699" t="s">
        <v>233</v>
      </c>
      <c r="B16" s="1605"/>
      <c r="C16" s="1605"/>
      <c r="D16" s="745"/>
      <c r="E16" s="704">
        <v>90</v>
      </c>
      <c r="F16" s="704">
        <v>95</v>
      </c>
      <c r="G16" s="704">
        <v>100</v>
      </c>
    </row>
    <row r="17" spans="1:18">
      <c r="A17" s="700"/>
      <c r="B17" s="683"/>
      <c r="C17" s="683"/>
    </row>
    <row r="18" spans="1:18">
      <c r="A18" s="701" t="s">
        <v>638</v>
      </c>
      <c r="B18" s="681"/>
      <c r="C18" s="681"/>
      <c r="E18" s="1224"/>
      <c r="F18" s="1224"/>
      <c r="G18" s="1224"/>
    </row>
    <row r="19" spans="1:18">
      <c r="A19" s="701" t="s">
        <v>639</v>
      </c>
      <c r="B19" s="681"/>
      <c r="C19" s="681"/>
    </row>
    <row r="20" spans="1:18" ht="17.25" customHeight="1">
      <c r="A20" s="705"/>
      <c r="B20" s="705"/>
      <c r="C20" s="705"/>
      <c r="D20" s="705"/>
      <c r="E20" s="705"/>
      <c r="F20" s="705"/>
      <c r="G20" s="705"/>
    </row>
    <row r="21" spans="1:18">
      <c r="A21" s="674" t="s">
        <v>640</v>
      </c>
      <c r="B21" s="674"/>
      <c r="E21" s="674"/>
      <c r="F21" s="674" t="s">
        <v>1167</v>
      </c>
      <c r="G21" s="674"/>
    </row>
    <row r="22" spans="1:18" ht="15" customHeight="1">
      <c r="A22" s="674"/>
      <c r="B22" s="674"/>
      <c r="E22" s="673"/>
      <c r="F22" s="674"/>
      <c r="G22" s="674"/>
    </row>
    <row r="23" spans="1:18" ht="18.75" customHeight="1">
      <c r="A23" s="674"/>
      <c r="B23" s="674"/>
      <c r="E23" s="674"/>
      <c r="F23" s="674"/>
      <c r="G23" s="674"/>
    </row>
    <row r="24" spans="1:18">
      <c r="A24" s="674" t="s">
        <v>1166</v>
      </c>
      <c r="B24" s="673"/>
      <c r="E24" s="674"/>
      <c r="F24" s="1599" t="s">
        <v>1168</v>
      </c>
      <c r="G24" s="1599"/>
      <c r="H24" s="108"/>
      <c r="I24" s="108"/>
      <c r="J24" s="108"/>
      <c r="K24" s="108"/>
      <c r="L24" s="108"/>
      <c r="M24" s="108"/>
      <c r="N24" s="108"/>
      <c r="R24" s="117"/>
    </row>
    <row r="25" spans="1:18">
      <c r="A25" s="674"/>
      <c r="B25" s="674"/>
      <c r="C25" s="117"/>
      <c r="D25" s="117"/>
      <c r="E25" s="674"/>
      <c r="F25" s="674"/>
      <c r="G25" s="674"/>
      <c r="H25" s="117"/>
      <c r="I25" s="117"/>
      <c r="J25" s="117"/>
      <c r="K25" s="117"/>
      <c r="L25" s="117"/>
      <c r="M25" s="117"/>
      <c r="N25" s="117"/>
      <c r="R25" s="117"/>
    </row>
    <row r="26" spans="1:18" ht="18.75">
      <c r="A26" s="673"/>
      <c r="B26" s="673"/>
      <c r="C26" s="743"/>
      <c r="D26" s="673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R26" s="117"/>
    </row>
    <row r="27" spans="1:18" ht="18.75">
      <c r="A27" s="674"/>
      <c r="B27" s="673"/>
      <c r="C27" s="742"/>
      <c r="D27" s="674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R27" s="117"/>
    </row>
    <row r="28" spans="1:18">
      <c r="H28" s="117"/>
      <c r="I28" s="117"/>
      <c r="J28" s="117"/>
      <c r="K28" s="117"/>
      <c r="L28" s="117"/>
      <c r="M28" s="117"/>
      <c r="N28" s="117"/>
      <c r="R28" s="117"/>
    </row>
    <row r="29" spans="1:18">
      <c r="H29" s="117"/>
      <c r="I29" s="117"/>
      <c r="J29" s="117"/>
      <c r="K29" s="117"/>
      <c r="L29" s="117"/>
      <c r="M29" s="117"/>
      <c r="N29" s="117"/>
      <c r="O29" s="117"/>
      <c r="P29" s="117"/>
      <c r="Q29" s="673"/>
      <c r="R29" s="117"/>
    </row>
    <row r="30" spans="1:18">
      <c r="H30" s="117"/>
      <c r="I30" s="117"/>
      <c r="J30" s="117"/>
      <c r="K30" s="117"/>
      <c r="L30" s="117"/>
      <c r="M30" s="117"/>
      <c r="N30" s="117"/>
      <c r="O30" s="117"/>
      <c r="P30" s="117"/>
      <c r="Q30" s="674"/>
      <c r="R30" s="117"/>
    </row>
  </sheetData>
  <mergeCells count="15">
    <mergeCell ref="A2:G2"/>
    <mergeCell ref="A3:G3"/>
    <mergeCell ref="F24:G24"/>
    <mergeCell ref="B8:C8"/>
    <mergeCell ref="B5:C5"/>
    <mergeCell ref="B6:C6"/>
    <mergeCell ref="B7:C7"/>
    <mergeCell ref="B15:C15"/>
    <mergeCell ref="B16:C16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7"/>
  <sheetViews>
    <sheetView view="pageBreakPreview" topLeftCell="A112" zoomScaleNormal="100" zoomScaleSheetLayoutView="100" workbookViewId="0">
      <selection activeCell="G124" sqref="G124"/>
    </sheetView>
  </sheetViews>
  <sheetFormatPr defaultRowHeight="15.75"/>
  <cols>
    <col min="1" max="2" width="9.140625" style="1190"/>
    <col min="3" max="3" width="50" style="1190" customWidth="1"/>
    <col min="4" max="6" width="9.140625" style="1190"/>
    <col min="7" max="7" width="9.85546875" style="1190" customWidth="1"/>
    <col min="8" max="8" width="15.42578125" style="1190" customWidth="1"/>
    <col min="9" max="16384" width="9.140625" style="1190"/>
  </cols>
  <sheetData>
    <row r="1" spans="1:7">
      <c r="A1" s="1606" t="s">
        <v>1231</v>
      </c>
      <c r="B1" s="1606"/>
      <c r="C1" s="1606"/>
      <c r="D1" s="1606"/>
      <c r="E1" s="1606"/>
      <c r="F1" s="1606"/>
      <c r="G1" s="1606"/>
    </row>
    <row r="2" spans="1:7">
      <c r="A2" s="1607" t="s">
        <v>672</v>
      </c>
      <c r="B2" s="1607"/>
      <c r="C2" s="1607"/>
      <c r="D2" s="1607"/>
      <c r="E2" s="1607"/>
      <c r="F2" s="1607"/>
      <c r="G2" s="1608"/>
    </row>
    <row r="3" spans="1:7">
      <c r="A3" s="1191"/>
      <c r="B3" s="1191"/>
      <c r="C3" s="1191"/>
      <c r="D3" s="1191"/>
      <c r="E3" s="1191"/>
      <c r="F3" s="1191"/>
      <c r="G3" s="1191"/>
    </row>
    <row r="4" spans="1:7" ht="157.5">
      <c r="A4" s="1225" t="s">
        <v>643</v>
      </c>
      <c r="B4" s="1192" t="s">
        <v>644</v>
      </c>
      <c r="C4" s="1192" t="s">
        <v>483</v>
      </c>
      <c r="D4" s="1225" t="s">
        <v>645</v>
      </c>
      <c r="E4" s="1225" t="s">
        <v>249</v>
      </c>
      <c r="F4" s="1085" t="s">
        <v>1234</v>
      </c>
      <c r="G4" s="1085" t="s">
        <v>1280</v>
      </c>
    </row>
    <row r="5" spans="1:7" ht="89.45" customHeight="1">
      <c r="A5" s="1225"/>
      <c r="B5" s="1192"/>
      <c r="C5" s="1193" t="s">
        <v>1388</v>
      </c>
      <c r="D5" s="1225"/>
      <c r="E5" s="1225"/>
      <c r="F5" s="1085"/>
      <c r="G5" s="1085"/>
    </row>
    <row r="6" spans="1:7" ht="48.75" customHeight="1">
      <c r="A6" s="1225"/>
      <c r="B6" s="1192"/>
      <c r="C6" s="1231" t="s">
        <v>1389</v>
      </c>
      <c r="D6" s="1195"/>
      <c r="E6" s="1196"/>
      <c r="F6" s="1085"/>
      <c r="G6" s="1085"/>
    </row>
    <row r="7" spans="1:7" ht="48" customHeight="1">
      <c r="A7" s="1197"/>
      <c r="B7" s="1197"/>
      <c r="C7" s="1198" t="s">
        <v>1390</v>
      </c>
      <c r="D7" s="1199"/>
      <c r="E7" s="1199"/>
      <c r="F7" s="1086"/>
      <c r="G7" s="1086"/>
    </row>
    <row r="8" spans="1:7" ht="34.9" customHeight="1">
      <c r="A8" s="1200">
        <v>1</v>
      </c>
      <c r="B8" s="1201" t="s">
        <v>641</v>
      </c>
      <c r="C8" s="1200" t="s">
        <v>1254</v>
      </c>
      <c r="D8" s="1200" t="s">
        <v>484</v>
      </c>
      <c r="E8" s="1200">
        <v>30</v>
      </c>
      <c r="F8" s="1086">
        <v>130</v>
      </c>
      <c r="G8" s="1086">
        <f t="shared" ref="G8:G16" si="0">E8*F8/1000</f>
        <v>3.9</v>
      </c>
    </row>
    <row r="9" spans="1:7" ht="61.9" customHeight="1">
      <c r="A9" s="1200">
        <v>2</v>
      </c>
      <c r="B9" s="1201" t="s">
        <v>641</v>
      </c>
      <c r="C9" s="1200" t="s">
        <v>1452</v>
      </c>
      <c r="D9" s="1200" t="s">
        <v>484</v>
      </c>
      <c r="E9" s="1200">
        <v>30</v>
      </c>
      <c r="F9" s="1086">
        <v>120</v>
      </c>
      <c r="G9" s="1086">
        <f t="shared" si="0"/>
        <v>3.6</v>
      </c>
    </row>
    <row r="10" spans="1:7" ht="40.9" customHeight="1">
      <c r="A10" s="1200">
        <v>3</v>
      </c>
      <c r="B10" s="1201" t="s">
        <v>1247</v>
      </c>
      <c r="C10" s="1200" t="s">
        <v>1453</v>
      </c>
      <c r="D10" s="1200" t="s">
        <v>484</v>
      </c>
      <c r="E10" s="1200">
        <v>15</v>
      </c>
      <c r="F10" s="1086">
        <v>3720</v>
      </c>
      <c r="G10" s="1086">
        <f t="shared" si="0"/>
        <v>55.8</v>
      </c>
    </row>
    <row r="11" spans="1:7">
      <c r="A11" s="1200">
        <v>4</v>
      </c>
      <c r="B11" s="1201" t="s">
        <v>1247</v>
      </c>
      <c r="C11" s="1200" t="s">
        <v>1454</v>
      </c>
      <c r="D11" s="1200" t="s">
        <v>484</v>
      </c>
      <c r="E11" s="1200">
        <v>11</v>
      </c>
      <c r="F11" s="1086">
        <v>2000</v>
      </c>
      <c r="G11" s="1086">
        <f t="shared" si="0"/>
        <v>22</v>
      </c>
    </row>
    <row r="12" spans="1:7" ht="61.9" customHeight="1">
      <c r="A12" s="1200">
        <v>5</v>
      </c>
      <c r="B12" s="1201" t="s">
        <v>1247</v>
      </c>
      <c r="C12" s="1200" t="s">
        <v>1455</v>
      </c>
      <c r="D12" s="1200" t="s">
        <v>481</v>
      </c>
      <c r="E12" s="1200">
        <v>10</v>
      </c>
      <c r="F12" s="1086">
        <v>2400</v>
      </c>
      <c r="G12" s="1086">
        <f t="shared" si="0"/>
        <v>24</v>
      </c>
    </row>
    <row r="13" spans="1:7" ht="50.45" customHeight="1">
      <c r="A13" s="1200">
        <v>6</v>
      </c>
      <c r="B13" s="1201" t="s">
        <v>1252</v>
      </c>
      <c r="C13" s="1200" t="s">
        <v>651</v>
      </c>
      <c r="D13" s="1200" t="s">
        <v>484</v>
      </c>
      <c r="E13" s="1200">
        <v>20</v>
      </c>
      <c r="F13" s="1086">
        <v>750</v>
      </c>
      <c r="G13" s="1086">
        <f t="shared" si="0"/>
        <v>15</v>
      </c>
    </row>
    <row r="14" spans="1:7" ht="32.450000000000003" customHeight="1">
      <c r="A14" s="1200">
        <v>7</v>
      </c>
      <c r="B14" s="1201" t="s">
        <v>1248</v>
      </c>
      <c r="C14" s="1200" t="s">
        <v>1249</v>
      </c>
      <c r="D14" s="1200" t="s">
        <v>1250</v>
      </c>
      <c r="E14" s="1200">
        <v>31</v>
      </c>
      <c r="F14" s="1086">
        <v>450</v>
      </c>
      <c r="G14" s="1086">
        <f t="shared" si="0"/>
        <v>13.95</v>
      </c>
    </row>
    <row r="15" spans="1:7" ht="40.9" customHeight="1">
      <c r="A15" s="1200">
        <v>8</v>
      </c>
      <c r="B15" s="1201" t="s">
        <v>1248</v>
      </c>
      <c r="C15" s="1200" t="s">
        <v>1456</v>
      </c>
      <c r="D15" s="1200" t="s">
        <v>481</v>
      </c>
      <c r="E15" s="1200">
        <v>20</v>
      </c>
      <c r="F15" s="1086">
        <v>1870</v>
      </c>
      <c r="G15" s="1086">
        <f t="shared" si="0"/>
        <v>37.4</v>
      </c>
    </row>
    <row r="16" spans="1:7">
      <c r="A16" s="1200">
        <v>9</v>
      </c>
      <c r="B16" s="1201" t="s">
        <v>1256</v>
      </c>
      <c r="C16" s="1200" t="s">
        <v>1257</v>
      </c>
      <c r="D16" s="1225" t="s">
        <v>484</v>
      </c>
      <c r="E16" s="1200">
        <v>40</v>
      </c>
      <c r="F16" s="1086">
        <v>135</v>
      </c>
      <c r="G16" s="1086">
        <f t="shared" si="0"/>
        <v>5.4</v>
      </c>
    </row>
    <row r="17" spans="1:7" ht="37.15" customHeight="1">
      <c r="A17" s="1202"/>
      <c r="B17" s="1202"/>
      <c r="C17" s="1194" t="s">
        <v>1391</v>
      </c>
      <c r="D17" s="1196"/>
      <c r="E17" s="1196"/>
      <c r="F17" s="1202"/>
      <c r="G17" s="1202"/>
    </row>
    <row r="18" spans="1:7" ht="27" customHeight="1">
      <c r="A18" s="1202"/>
      <c r="B18" s="1202"/>
      <c r="C18" s="1203" t="s">
        <v>1392</v>
      </c>
      <c r="D18" s="1196"/>
      <c r="E18" s="1196"/>
      <c r="F18" s="1202"/>
      <c r="G18" s="1202"/>
    </row>
    <row r="19" spans="1:7" ht="57" customHeight="1">
      <c r="A19" s="1200">
        <v>10</v>
      </c>
      <c r="B19" s="1200">
        <v>28</v>
      </c>
      <c r="C19" s="1087" t="s">
        <v>668</v>
      </c>
      <c r="D19" s="1200" t="s">
        <v>484</v>
      </c>
      <c r="E19" s="1200">
        <v>10</v>
      </c>
      <c r="F19" s="661">
        <v>400</v>
      </c>
      <c r="G19" s="1086">
        <f t="shared" ref="G19" si="1">E19*F19/1000</f>
        <v>4</v>
      </c>
    </row>
    <row r="20" spans="1:7" ht="42.75">
      <c r="A20" s="1202"/>
      <c r="B20" s="1202"/>
      <c r="C20" s="1203" t="s">
        <v>1393</v>
      </c>
      <c r="D20" s="1196"/>
      <c r="E20" s="1196"/>
      <c r="F20" s="1202"/>
      <c r="G20" s="1202"/>
    </row>
    <row r="21" spans="1:7" ht="47.45" customHeight="1">
      <c r="A21" s="1200">
        <v>11</v>
      </c>
      <c r="B21" s="1200">
        <v>38</v>
      </c>
      <c r="C21" s="1200" t="s">
        <v>1277</v>
      </c>
      <c r="D21" s="1200" t="s">
        <v>484</v>
      </c>
      <c r="E21" s="1200">
        <v>2</v>
      </c>
      <c r="F21" s="661">
        <v>3000</v>
      </c>
      <c r="G21" s="1086">
        <f t="shared" ref="G21:G23" si="2">E21*F21/1000</f>
        <v>6</v>
      </c>
    </row>
    <row r="22" spans="1:7" ht="48.75" customHeight="1">
      <c r="A22" s="1192">
        <v>12</v>
      </c>
      <c r="B22" s="1204">
        <v>42</v>
      </c>
      <c r="C22" s="1204" t="s">
        <v>1457</v>
      </c>
      <c r="D22" s="1204" t="s">
        <v>671</v>
      </c>
      <c r="E22" s="1204">
        <v>4</v>
      </c>
      <c r="F22" s="661">
        <v>1500</v>
      </c>
      <c r="G22" s="1086">
        <f t="shared" si="2"/>
        <v>6</v>
      </c>
    </row>
    <row r="23" spans="1:7" ht="44.45" customHeight="1">
      <c r="A23" s="1200">
        <v>13</v>
      </c>
      <c r="B23" s="1200">
        <v>44</v>
      </c>
      <c r="C23" s="1087" t="s">
        <v>669</v>
      </c>
      <c r="D23" s="1200" t="s">
        <v>481</v>
      </c>
      <c r="E23" s="1200">
        <v>10</v>
      </c>
      <c r="F23" s="1086">
        <v>1480</v>
      </c>
      <c r="G23" s="1086">
        <f t="shared" si="2"/>
        <v>14.8</v>
      </c>
    </row>
    <row r="24" spans="1:7" ht="28.9" customHeight="1">
      <c r="A24" s="1202"/>
      <c r="B24" s="1202"/>
      <c r="C24" s="1203" t="s">
        <v>1394</v>
      </c>
      <c r="D24" s="1196"/>
      <c r="E24" s="1196"/>
      <c r="F24" s="1202"/>
      <c r="G24" s="1202"/>
    </row>
    <row r="25" spans="1:7">
      <c r="A25" s="1202"/>
      <c r="B25" s="1202"/>
      <c r="C25" s="1203" t="s">
        <v>1395</v>
      </c>
      <c r="D25" s="1196"/>
      <c r="E25" s="1196"/>
      <c r="F25" s="1202"/>
      <c r="G25" s="1202"/>
    </row>
    <row r="26" spans="1:7">
      <c r="A26" s="1202"/>
      <c r="B26" s="1202"/>
      <c r="C26" s="1203" t="s">
        <v>1396</v>
      </c>
      <c r="D26" s="1196"/>
      <c r="E26" s="1196"/>
      <c r="F26" s="1202"/>
      <c r="G26" s="1202"/>
    </row>
    <row r="27" spans="1:7">
      <c r="A27" s="1200">
        <v>14</v>
      </c>
      <c r="B27" s="1200">
        <v>93</v>
      </c>
      <c r="C27" s="1200" t="s">
        <v>1458</v>
      </c>
      <c r="D27" s="1200" t="s">
        <v>484</v>
      </c>
      <c r="E27" s="1200">
        <v>20</v>
      </c>
      <c r="F27" s="1086">
        <v>1500</v>
      </c>
      <c r="G27" s="1086">
        <f t="shared" ref="G27" si="3">E27*F27/1000</f>
        <v>30</v>
      </c>
    </row>
    <row r="28" spans="1:7" ht="27.6" customHeight="1">
      <c r="A28" s="1202"/>
      <c r="B28" s="1202"/>
      <c r="C28" s="1203" t="s">
        <v>1397</v>
      </c>
      <c r="D28" s="1196"/>
      <c r="E28" s="1196"/>
      <c r="F28" s="1202"/>
      <c r="G28" s="1202"/>
    </row>
    <row r="29" spans="1:7" ht="28.15" customHeight="1">
      <c r="A29" s="1200">
        <v>15</v>
      </c>
      <c r="B29" s="1201" t="s">
        <v>1251</v>
      </c>
      <c r="C29" s="1200" t="s">
        <v>1459</v>
      </c>
      <c r="D29" s="1200" t="s">
        <v>484</v>
      </c>
      <c r="E29" s="1200">
        <v>30</v>
      </c>
      <c r="F29" s="1086">
        <v>680</v>
      </c>
      <c r="G29" s="1086">
        <f t="shared" ref="G29" si="4">E29*F29/1000</f>
        <v>20.399999999999999</v>
      </c>
    </row>
    <row r="30" spans="1:7" ht="31.9" customHeight="1">
      <c r="A30" s="1202"/>
      <c r="B30" s="1202"/>
      <c r="C30" s="1203" t="s">
        <v>1398</v>
      </c>
      <c r="D30" s="1196"/>
      <c r="E30" s="1196"/>
      <c r="F30" s="1202"/>
      <c r="G30" s="1202"/>
    </row>
    <row r="31" spans="1:7">
      <c r="A31" s="1200">
        <v>16</v>
      </c>
      <c r="B31" s="1201" t="s">
        <v>1273</v>
      </c>
      <c r="C31" s="1087" t="s">
        <v>1274</v>
      </c>
      <c r="D31" s="1200" t="s">
        <v>481</v>
      </c>
      <c r="E31" s="1200">
        <v>30</v>
      </c>
      <c r="F31" s="1086">
        <v>300</v>
      </c>
      <c r="G31" s="1086">
        <f t="shared" ref="G31:G32" si="5">E31*F31/1000</f>
        <v>9</v>
      </c>
    </row>
    <row r="32" spans="1:7" ht="45" customHeight="1">
      <c r="A32" s="1200">
        <v>17</v>
      </c>
      <c r="B32" s="1201" t="s">
        <v>1275</v>
      </c>
      <c r="C32" s="1087" t="s">
        <v>1276</v>
      </c>
      <c r="D32" s="1200" t="s">
        <v>481</v>
      </c>
      <c r="E32" s="1200">
        <v>150</v>
      </c>
      <c r="F32" s="1086">
        <v>350</v>
      </c>
      <c r="G32" s="1086">
        <f t="shared" si="5"/>
        <v>52.5</v>
      </c>
    </row>
    <row r="33" spans="1:7">
      <c r="A33" s="1200">
        <v>18</v>
      </c>
      <c r="B33" s="1201" t="s">
        <v>1271</v>
      </c>
      <c r="C33" s="1087" t="s">
        <v>1272</v>
      </c>
      <c r="D33" s="1200" t="s">
        <v>485</v>
      </c>
      <c r="E33" s="1200">
        <v>19</v>
      </c>
      <c r="F33" s="1086">
        <v>200</v>
      </c>
      <c r="G33" s="1086">
        <f>E33*F33/1000</f>
        <v>3.8</v>
      </c>
    </row>
    <row r="34" spans="1:7" ht="42.6" customHeight="1">
      <c r="A34" s="1204">
        <v>19</v>
      </c>
      <c r="B34" s="1204">
        <v>194</v>
      </c>
      <c r="C34" s="1204" t="s">
        <v>1460</v>
      </c>
      <c r="D34" s="1204" t="s">
        <v>484</v>
      </c>
      <c r="E34" s="1204">
        <v>20</v>
      </c>
      <c r="F34" s="1192">
        <v>1500</v>
      </c>
      <c r="G34" s="1086">
        <f t="shared" ref="G34:G35" si="6">E34*F34/1000</f>
        <v>30</v>
      </c>
    </row>
    <row r="35" spans="1:7" ht="34.15" customHeight="1">
      <c r="A35" s="1200">
        <v>20</v>
      </c>
      <c r="B35" s="1201" t="s">
        <v>1269</v>
      </c>
      <c r="C35" s="1087" t="s">
        <v>1270</v>
      </c>
      <c r="D35" s="1200" t="s">
        <v>485</v>
      </c>
      <c r="E35" s="1200">
        <v>20</v>
      </c>
      <c r="F35" s="1086">
        <v>280</v>
      </c>
      <c r="G35" s="1086">
        <f t="shared" si="6"/>
        <v>5.6</v>
      </c>
    </row>
    <row r="36" spans="1:7" ht="27.6" customHeight="1">
      <c r="A36" s="1202"/>
      <c r="B36" s="1202"/>
      <c r="C36" s="1203" t="s">
        <v>1399</v>
      </c>
      <c r="D36" s="1196"/>
      <c r="E36" s="1196"/>
      <c r="F36" s="1202"/>
      <c r="G36" s="1202"/>
    </row>
    <row r="37" spans="1:7" ht="33" customHeight="1">
      <c r="A37" s="1202"/>
      <c r="B37" s="1202"/>
      <c r="C37" s="1203" t="s">
        <v>1400</v>
      </c>
      <c r="D37" s="1196"/>
      <c r="E37" s="1196"/>
      <c r="F37" s="1202"/>
      <c r="G37" s="1202"/>
    </row>
    <row r="38" spans="1:7" ht="27.6" customHeight="1">
      <c r="A38" s="1202"/>
      <c r="B38" s="1202"/>
      <c r="C38" s="1203" t="s">
        <v>1401</v>
      </c>
      <c r="D38" s="1196"/>
      <c r="E38" s="1196"/>
      <c r="F38" s="1202"/>
      <c r="G38" s="1202"/>
    </row>
    <row r="39" spans="1:7">
      <c r="A39" s="1200">
        <v>21</v>
      </c>
      <c r="B39" s="1200">
        <v>232</v>
      </c>
      <c r="C39" s="1200" t="s">
        <v>1241</v>
      </c>
      <c r="D39" s="1200" t="s">
        <v>484</v>
      </c>
      <c r="E39" s="1200">
        <v>10</v>
      </c>
      <c r="F39" s="1086">
        <v>550</v>
      </c>
      <c r="G39" s="1086">
        <f t="shared" ref="G39:G40" si="7">E39*F39/1000</f>
        <v>5.5</v>
      </c>
    </row>
    <row r="40" spans="1:7" ht="44.45" customHeight="1">
      <c r="A40" s="1200">
        <v>22</v>
      </c>
      <c r="B40" s="1200">
        <v>232</v>
      </c>
      <c r="C40" s="1200" t="s">
        <v>1461</v>
      </c>
      <c r="D40" s="1200" t="s">
        <v>1243</v>
      </c>
      <c r="E40" s="1200">
        <v>3</v>
      </c>
      <c r="F40" s="1086">
        <v>3000</v>
      </c>
      <c r="G40" s="1086">
        <f t="shared" si="7"/>
        <v>9</v>
      </c>
    </row>
    <row r="41" spans="1:7" ht="42" customHeight="1">
      <c r="A41" s="1202"/>
      <c r="B41" s="1202"/>
      <c r="C41" s="1203" t="s">
        <v>1402</v>
      </c>
      <c r="D41" s="1196"/>
      <c r="E41" s="1196"/>
      <c r="F41" s="1202"/>
      <c r="G41" s="1202"/>
    </row>
    <row r="42" spans="1:7" ht="41.45" customHeight="1">
      <c r="A42" s="1200">
        <v>23</v>
      </c>
      <c r="B42" s="1200">
        <v>261</v>
      </c>
      <c r="C42" s="1200" t="s">
        <v>1245</v>
      </c>
      <c r="D42" s="1200" t="s">
        <v>484</v>
      </c>
      <c r="E42" s="1200">
        <v>10</v>
      </c>
      <c r="F42" s="1086">
        <v>900</v>
      </c>
      <c r="G42" s="1086">
        <f t="shared" ref="G42" si="8">E42*F42/1000</f>
        <v>9</v>
      </c>
    </row>
    <row r="43" spans="1:7" ht="48" customHeight="1">
      <c r="A43" s="1202"/>
      <c r="B43" s="1202"/>
      <c r="C43" s="1203" t="s">
        <v>1403</v>
      </c>
      <c r="D43" s="1196"/>
      <c r="E43" s="1196"/>
      <c r="F43" s="1202"/>
      <c r="G43" s="1202"/>
    </row>
    <row r="44" spans="1:7" ht="43.9" customHeight="1">
      <c r="A44" s="1202"/>
      <c r="B44" s="1202"/>
      <c r="C44" s="1203" t="s">
        <v>1404</v>
      </c>
      <c r="D44" s="1196"/>
      <c r="E44" s="1196"/>
      <c r="F44" s="1202"/>
      <c r="G44" s="1202"/>
    </row>
    <row r="45" spans="1:7" ht="57" customHeight="1">
      <c r="A45" s="1200">
        <v>24</v>
      </c>
      <c r="B45" s="1200">
        <v>331</v>
      </c>
      <c r="C45" s="1087" t="s">
        <v>670</v>
      </c>
      <c r="D45" s="1200" t="s">
        <v>484</v>
      </c>
      <c r="E45" s="1200">
        <v>10</v>
      </c>
      <c r="F45" s="1086">
        <v>400</v>
      </c>
      <c r="G45" s="1086">
        <f t="shared" ref="G45" si="9">E45*F45/1000</f>
        <v>4</v>
      </c>
    </row>
    <row r="46" spans="1:7" ht="44.25" customHeight="1">
      <c r="A46" s="1202"/>
      <c r="B46" s="1202"/>
      <c r="C46" s="1203" t="s">
        <v>1405</v>
      </c>
      <c r="D46" s="1196"/>
      <c r="E46" s="1196"/>
      <c r="F46" s="1202"/>
      <c r="G46" s="1202"/>
    </row>
    <row r="47" spans="1:7" ht="52.9" customHeight="1">
      <c r="A47" s="1204">
        <v>25</v>
      </c>
      <c r="B47" s="1204">
        <v>345</v>
      </c>
      <c r="C47" s="1204" t="s">
        <v>1462</v>
      </c>
      <c r="D47" s="1204" t="s">
        <v>484</v>
      </c>
      <c r="E47" s="1204">
        <v>15</v>
      </c>
      <c r="F47" s="1086">
        <v>4750</v>
      </c>
      <c r="G47" s="1086">
        <f t="shared" ref="G47:G48" si="10">E47*F47/1000</f>
        <v>71.25</v>
      </c>
    </row>
    <row r="48" spans="1:7" ht="27" customHeight="1">
      <c r="A48" s="1204">
        <v>26</v>
      </c>
      <c r="B48" s="1204">
        <v>345</v>
      </c>
      <c r="C48" s="1204" t="s">
        <v>1463</v>
      </c>
      <c r="D48" s="1204" t="s">
        <v>484</v>
      </c>
      <c r="E48" s="1204">
        <v>10</v>
      </c>
      <c r="F48" s="1086">
        <v>3360</v>
      </c>
      <c r="G48" s="1086">
        <f t="shared" si="10"/>
        <v>33.6</v>
      </c>
    </row>
    <row r="49" spans="1:7" ht="28.5">
      <c r="A49" s="1202"/>
      <c r="B49" s="1202"/>
      <c r="C49" s="1203" t="s">
        <v>1406</v>
      </c>
      <c r="D49" s="1196"/>
      <c r="E49" s="1196"/>
      <c r="F49" s="1202"/>
      <c r="G49" s="1202"/>
    </row>
    <row r="50" spans="1:7" ht="47.25" customHeight="1">
      <c r="A50" s="1202"/>
      <c r="B50" s="1202"/>
      <c r="C50" s="1203" t="s">
        <v>1407</v>
      </c>
      <c r="D50" s="1196"/>
      <c r="E50" s="1196"/>
      <c r="F50" s="1202"/>
      <c r="G50" s="1202"/>
    </row>
    <row r="51" spans="1:7" ht="44.25" customHeight="1">
      <c r="A51" s="1204">
        <v>27</v>
      </c>
      <c r="B51" s="1204">
        <v>355</v>
      </c>
      <c r="C51" s="1204" t="s">
        <v>1464</v>
      </c>
      <c r="D51" s="1204" t="s">
        <v>484</v>
      </c>
      <c r="E51" s="1204">
        <v>8</v>
      </c>
      <c r="F51" s="661">
        <v>3200</v>
      </c>
      <c r="G51" s="1086">
        <f t="shared" ref="G51" si="11">E51*F51/1000</f>
        <v>25.6</v>
      </c>
    </row>
    <row r="52" spans="1:7" ht="26.45" customHeight="1">
      <c r="A52" s="1202"/>
      <c r="B52" s="1202"/>
      <c r="C52" s="1203" t="s">
        <v>1408</v>
      </c>
      <c r="D52" s="1196"/>
      <c r="E52" s="1196"/>
      <c r="F52" s="1202"/>
      <c r="G52" s="1202"/>
    </row>
    <row r="53" spans="1:7">
      <c r="A53" s="1202"/>
      <c r="B53" s="1202"/>
      <c r="C53" s="1203" t="s">
        <v>1409</v>
      </c>
      <c r="D53" s="1196"/>
      <c r="E53" s="1196"/>
      <c r="F53" s="1202"/>
      <c r="G53" s="1202"/>
    </row>
    <row r="54" spans="1:7" ht="41.25" customHeight="1">
      <c r="A54" s="1202"/>
      <c r="B54" s="1202"/>
      <c r="C54" s="1203" t="s">
        <v>1410</v>
      </c>
      <c r="D54" s="1196"/>
      <c r="E54" s="1196"/>
      <c r="F54" s="1202"/>
      <c r="G54" s="1202"/>
    </row>
    <row r="55" spans="1:7" ht="31.5">
      <c r="A55" s="1200">
        <v>28</v>
      </c>
      <c r="B55" s="1200">
        <v>357</v>
      </c>
      <c r="C55" s="1087" t="s">
        <v>1465</v>
      </c>
      <c r="D55" s="1200" t="s">
        <v>671</v>
      </c>
      <c r="E55" s="1200">
        <v>20</v>
      </c>
      <c r="F55" s="1086">
        <v>1510</v>
      </c>
      <c r="G55" s="1086">
        <f t="shared" ref="G55" si="12">E55*F55/1000</f>
        <v>30.2</v>
      </c>
    </row>
    <row r="56" spans="1:7" ht="28.5">
      <c r="A56" s="1202"/>
      <c r="B56" s="1202"/>
      <c r="C56" s="1203" t="s">
        <v>1411</v>
      </c>
      <c r="D56" s="1196"/>
      <c r="E56" s="1196"/>
      <c r="F56" s="1202"/>
      <c r="G56" s="1202"/>
    </row>
    <row r="57" spans="1:7">
      <c r="A57" s="1204">
        <v>29</v>
      </c>
      <c r="B57" s="1204">
        <v>364</v>
      </c>
      <c r="C57" s="1204" t="s">
        <v>1466</v>
      </c>
      <c r="D57" s="1204" t="s">
        <v>671</v>
      </c>
      <c r="E57" s="1204">
        <v>5</v>
      </c>
      <c r="F57" s="1086">
        <v>850</v>
      </c>
      <c r="G57" s="1086">
        <f t="shared" ref="G57" si="13">E57*F57/1000</f>
        <v>4.25</v>
      </c>
    </row>
    <row r="58" spans="1:7" ht="42.75">
      <c r="A58" s="1202"/>
      <c r="B58" s="1202"/>
      <c r="C58" s="1203" t="s">
        <v>1412</v>
      </c>
      <c r="D58" s="1196"/>
      <c r="E58" s="1196"/>
      <c r="F58" s="1202"/>
      <c r="G58" s="1202"/>
    </row>
    <row r="59" spans="1:7" ht="57">
      <c r="A59" s="1202"/>
      <c r="B59" s="1202"/>
      <c r="C59" s="1203" t="s">
        <v>1413</v>
      </c>
      <c r="D59" s="1196"/>
      <c r="E59" s="1196"/>
      <c r="F59" s="1202"/>
      <c r="G59" s="1202"/>
    </row>
    <row r="60" spans="1:7">
      <c r="A60" s="1200">
        <v>30</v>
      </c>
      <c r="B60" s="1200">
        <v>370</v>
      </c>
      <c r="C60" s="1200" t="s">
        <v>1242</v>
      </c>
      <c r="D60" s="1200" t="s">
        <v>1243</v>
      </c>
      <c r="E60" s="1200">
        <v>4</v>
      </c>
      <c r="F60" s="1086">
        <v>1100</v>
      </c>
      <c r="G60" s="1086">
        <f t="shared" ref="G60" si="14">E60*F60/1000</f>
        <v>4.4000000000000004</v>
      </c>
    </row>
    <row r="61" spans="1:7" ht="28.5">
      <c r="A61" s="1202"/>
      <c r="B61" s="1202"/>
      <c r="C61" s="1203" t="s">
        <v>1414</v>
      </c>
      <c r="D61" s="1196"/>
      <c r="E61" s="1196"/>
      <c r="F61" s="1202"/>
      <c r="G61" s="1202"/>
    </row>
    <row r="62" spans="1:7">
      <c r="A62" s="1200">
        <v>31</v>
      </c>
      <c r="B62" s="1200">
        <v>382</v>
      </c>
      <c r="C62" s="1087" t="s">
        <v>1278</v>
      </c>
      <c r="D62" s="1200" t="s">
        <v>671</v>
      </c>
      <c r="E62" s="1200">
        <v>40</v>
      </c>
      <c r="F62" s="1086">
        <v>250</v>
      </c>
      <c r="G62" s="1086">
        <f t="shared" ref="G62" si="15">E62*F62/1000</f>
        <v>10</v>
      </c>
    </row>
    <row r="63" spans="1:7">
      <c r="A63" s="1202"/>
      <c r="B63" s="1202"/>
      <c r="C63" s="1203" t="s">
        <v>1415</v>
      </c>
      <c r="D63" s="1196"/>
      <c r="E63" s="1196"/>
      <c r="F63" s="1202"/>
      <c r="G63" s="1202"/>
    </row>
    <row r="64" spans="1:7">
      <c r="A64" s="1200">
        <v>32</v>
      </c>
      <c r="B64" s="1200">
        <v>389</v>
      </c>
      <c r="C64" s="1087" t="s">
        <v>1279</v>
      </c>
      <c r="D64" s="1200" t="s">
        <v>485</v>
      </c>
      <c r="E64" s="1200">
        <v>10</v>
      </c>
      <c r="F64" s="1086">
        <v>850</v>
      </c>
      <c r="G64" s="1086">
        <f t="shared" ref="G64" si="16">E64*F64/1000</f>
        <v>8.5</v>
      </c>
    </row>
    <row r="65" spans="1:7" ht="28.5">
      <c r="A65" s="1202"/>
      <c r="B65" s="1202"/>
      <c r="C65" s="1203" t="s">
        <v>1416</v>
      </c>
      <c r="D65" s="1196"/>
      <c r="E65" s="1196"/>
      <c r="F65" s="1202"/>
      <c r="G65" s="1202"/>
    </row>
    <row r="66" spans="1:7" ht="28.5">
      <c r="A66" s="1202"/>
      <c r="B66" s="1202"/>
      <c r="C66" s="1203" t="s">
        <v>1417</v>
      </c>
      <c r="D66" s="1196"/>
      <c r="E66" s="1196"/>
      <c r="F66" s="1202"/>
      <c r="G66" s="1202"/>
    </row>
    <row r="67" spans="1:7">
      <c r="A67" s="1200">
        <v>33</v>
      </c>
      <c r="B67" s="1201" t="s">
        <v>1258</v>
      </c>
      <c r="C67" s="1200" t="s">
        <v>1467</v>
      </c>
      <c r="D67" s="1200" t="s">
        <v>481</v>
      </c>
      <c r="E67" s="1200">
        <v>10</v>
      </c>
      <c r="F67" s="1086">
        <v>1100</v>
      </c>
      <c r="G67" s="1086">
        <f t="shared" ref="G67" si="17">E67*F67/1000</f>
        <v>11</v>
      </c>
    </row>
    <row r="68" spans="1:7" ht="42.75">
      <c r="A68" s="1202"/>
      <c r="B68" s="1202"/>
      <c r="C68" s="1203" t="s">
        <v>1418</v>
      </c>
      <c r="D68" s="1196"/>
      <c r="E68" s="1196"/>
      <c r="F68" s="1202"/>
      <c r="G68" s="1202"/>
    </row>
    <row r="69" spans="1:7">
      <c r="A69" s="1200">
        <v>34</v>
      </c>
      <c r="B69" s="1200">
        <v>419</v>
      </c>
      <c r="C69" s="1087" t="s">
        <v>1468</v>
      </c>
      <c r="D69" s="1200" t="s">
        <v>481</v>
      </c>
      <c r="E69" s="1200">
        <v>30</v>
      </c>
      <c r="F69" s="1086">
        <v>1795</v>
      </c>
      <c r="G69" s="1086">
        <f t="shared" ref="G69" si="18">E69*F69/1000</f>
        <v>53.85</v>
      </c>
    </row>
    <row r="70" spans="1:7">
      <c r="A70" s="1202"/>
      <c r="B70" s="1202"/>
      <c r="C70" s="1203" t="s">
        <v>1419</v>
      </c>
      <c r="D70" s="1196"/>
      <c r="E70" s="1196"/>
      <c r="F70" s="1202"/>
      <c r="G70" s="1202"/>
    </row>
    <row r="71" spans="1:7">
      <c r="A71" s="1202"/>
      <c r="B71" s="1202"/>
      <c r="C71" s="1203" t="s">
        <v>1420</v>
      </c>
      <c r="D71" s="1196"/>
      <c r="E71" s="1196"/>
      <c r="F71" s="1202"/>
      <c r="G71" s="1202"/>
    </row>
    <row r="72" spans="1:7">
      <c r="A72" s="1201" t="s">
        <v>1469</v>
      </c>
      <c r="B72" s="1201" t="s">
        <v>1253</v>
      </c>
      <c r="C72" s="1087" t="s">
        <v>1470</v>
      </c>
      <c r="D72" s="1200" t="s">
        <v>485</v>
      </c>
      <c r="E72" s="1200">
        <v>16</v>
      </c>
      <c r="F72" s="1086">
        <v>300</v>
      </c>
      <c r="G72" s="1086">
        <f t="shared" ref="G72" si="19">E72*F72/1000</f>
        <v>4.8</v>
      </c>
    </row>
    <row r="73" spans="1:7">
      <c r="A73" s="1202"/>
      <c r="B73" s="1202"/>
      <c r="C73" s="1203" t="s">
        <v>1421</v>
      </c>
      <c r="D73" s="1196"/>
      <c r="E73" s="1196"/>
      <c r="F73" s="1202"/>
      <c r="G73" s="1202"/>
    </row>
    <row r="74" spans="1:7">
      <c r="A74" s="1200">
        <v>36</v>
      </c>
      <c r="B74" s="1200">
        <v>446</v>
      </c>
      <c r="C74" s="1200" t="s">
        <v>1246</v>
      </c>
      <c r="D74" s="1200" t="s">
        <v>484</v>
      </c>
      <c r="E74" s="1200">
        <v>150</v>
      </c>
      <c r="F74" s="1086">
        <v>130</v>
      </c>
      <c r="G74" s="1086">
        <f t="shared" ref="G74" si="20">E74*F74/1000</f>
        <v>19.5</v>
      </c>
    </row>
    <row r="75" spans="1:7" ht="128.25">
      <c r="A75" s="1202"/>
      <c r="B75" s="1202"/>
      <c r="C75" s="1203" t="s">
        <v>1422</v>
      </c>
      <c r="D75" s="1196"/>
      <c r="E75" s="1205"/>
      <c r="F75" s="1202"/>
      <c r="G75" s="1202"/>
    </row>
    <row r="76" spans="1:7">
      <c r="A76" s="1202"/>
      <c r="B76" s="1202"/>
      <c r="C76" s="1203" t="s">
        <v>1423</v>
      </c>
      <c r="D76" s="1196"/>
      <c r="E76" s="1202"/>
      <c r="F76" s="1202"/>
      <c r="G76" s="1202"/>
    </row>
    <row r="77" spans="1:7" ht="31.5">
      <c r="A77" s="1200">
        <v>37</v>
      </c>
      <c r="B77" s="1201" t="s">
        <v>646</v>
      </c>
      <c r="C77" s="1204" t="s">
        <v>1471</v>
      </c>
      <c r="D77" s="1200" t="s">
        <v>484</v>
      </c>
      <c r="E77" s="1200">
        <v>150</v>
      </c>
      <c r="F77" s="1086">
        <v>3575</v>
      </c>
      <c r="G77" s="1086">
        <f t="shared" ref="G77:G79" si="21">E77*F77/1000</f>
        <v>536.25</v>
      </c>
    </row>
    <row r="78" spans="1:7" ht="31.5">
      <c r="A78" s="1200">
        <v>38</v>
      </c>
      <c r="B78" s="1201" t="s">
        <v>647</v>
      </c>
      <c r="C78" s="1204" t="s">
        <v>1472</v>
      </c>
      <c r="D78" s="1200" t="s">
        <v>484</v>
      </c>
      <c r="E78" s="1200">
        <v>40</v>
      </c>
      <c r="F78" s="1086">
        <v>3800</v>
      </c>
      <c r="G78" s="1086">
        <f t="shared" si="21"/>
        <v>152</v>
      </c>
    </row>
    <row r="79" spans="1:7">
      <c r="A79" s="1200">
        <v>39</v>
      </c>
      <c r="B79" s="1201" t="s">
        <v>1238</v>
      </c>
      <c r="C79" s="1204" t="s">
        <v>1473</v>
      </c>
      <c r="D79" s="1200" t="s">
        <v>484</v>
      </c>
      <c r="E79" s="1200">
        <v>150</v>
      </c>
      <c r="F79" s="1086">
        <v>6000</v>
      </c>
      <c r="G79" s="1086">
        <f t="shared" si="21"/>
        <v>900</v>
      </c>
    </row>
    <row r="80" spans="1:7">
      <c r="A80" s="1202"/>
      <c r="B80" s="1202"/>
      <c r="C80" s="1203" t="s">
        <v>1424</v>
      </c>
      <c r="D80" s="1196"/>
      <c r="E80" s="1202"/>
      <c r="F80" s="1202"/>
      <c r="G80" s="1202"/>
    </row>
    <row r="81" spans="1:7" ht="33.75" customHeight="1">
      <c r="A81" s="1200">
        <v>40</v>
      </c>
      <c r="B81" s="1201" t="s">
        <v>648</v>
      </c>
      <c r="C81" s="1204" t="s">
        <v>1474</v>
      </c>
      <c r="D81" s="1200" t="s">
        <v>484</v>
      </c>
      <c r="E81" s="1200">
        <v>10</v>
      </c>
      <c r="F81" s="1086">
        <v>11760</v>
      </c>
      <c r="G81" s="1086">
        <f t="shared" ref="G81:G86" si="22">E81*F81/1000</f>
        <v>117.6</v>
      </c>
    </row>
    <row r="82" spans="1:7">
      <c r="A82" s="1200">
        <v>41</v>
      </c>
      <c r="B82" s="1201" t="s">
        <v>648</v>
      </c>
      <c r="C82" s="1200" t="s">
        <v>1240</v>
      </c>
      <c r="D82" s="1200" t="s">
        <v>485</v>
      </c>
      <c r="E82" s="1200">
        <v>100</v>
      </c>
      <c r="F82" s="1086">
        <v>6500</v>
      </c>
      <c r="G82" s="1086">
        <f t="shared" si="22"/>
        <v>650</v>
      </c>
    </row>
    <row r="83" spans="1:7">
      <c r="A83" s="1200">
        <v>42</v>
      </c>
      <c r="B83" s="1201" t="s">
        <v>648</v>
      </c>
      <c r="C83" s="1200" t="s">
        <v>649</v>
      </c>
      <c r="D83" s="1200" t="s">
        <v>484</v>
      </c>
      <c r="E83" s="1200">
        <v>10</v>
      </c>
      <c r="F83" s="1086">
        <v>46000</v>
      </c>
      <c r="G83" s="1086">
        <f t="shared" si="22"/>
        <v>460</v>
      </c>
    </row>
    <row r="84" spans="1:7">
      <c r="A84" s="1200">
        <v>43</v>
      </c>
      <c r="B84" s="1201" t="s">
        <v>1237</v>
      </c>
      <c r="C84" s="1204" t="s">
        <v>1475</v>
      </c>
      <c r="D84" s="1200" t="s">
        <v>484</v>
      </c>
      <c r="E84" s="1200">
        <v>10</v>
      </c>
      <c r="F84" s="1086">
        <v>7050</v>
      </c>
      <c r="G84" s="1086">
        <f t="shared" si="22"/>
        <v>70.5</v>
      </c>
    </row>
    <row r="85" spans="1:7">
      <c r="A85" s="1200">
        <v>44</v>
      </c>
      <c r="B85" s="1201" t="s">
        <v>1239</v>
      </c>
      <c r="C85" s="1204" t="s">
        <v>1476</v>
      </c>
      <c r="D85" s="1200" t="s">
        <v>484</v>
      </c>
      <c r="E85" s="1200">
        <v>200</v>
      </c>
      <c r="F85" s="1086">
        <v>10150</v>
      </c>
      <c r="G85" s="1086">
        <f>E85*F85/1000</f>
        <v>2030</v>
      </c>
    </row>
    <row r="86" spans="1:7" ht="31.5">
      <c r="A86" s="1200">
        <v>45</v>
      </c>
      <c r="B86" s="1201" t="s">
        <v>1477</v>
      </c>
      <c r="C86" s="1204" t="s">
        <v>1478</v>
      </c>
      <c r="D86" s="1200" t="s">
        <v>484</v>
      </c>
      <c r="E86" s="1200">
        <v>500</v>
      </c>
      <c r="F86" s="1086">
        <v>1425</v>
      </c>
      <c r="G86" s="1086">
        <f t="shared" si="22"/>
        <v>712.5</v>
      </c>
    </row>
    <row r="87" spans="1:7">
      <c r="A87" s="1202"/>
      <c r="B87" s="1202"/>
      <c r="C87" s="1203" t="s">
        <v>1425</v>
      </c>
      <c r="D87" s="1196"/>
      <c r="E87" s="1202"/>
      <c r="F87" s="1202"/>
      <c r="G87" s="1202"/>
    </row>
    <row r="88" spans="1:7" ht="31.5">
      <c r="A88" s="1200">
        <v>46</v>
      </c>
      <c r="B88" s="1201" t="s">
        <v>650</v>
      </c>
      <c r="C88" s="1204" t="s">
        <v>1479</v>
      </c>
      <c r="D88" s="1200" t="s">
        <v>484</v>
      </c>
      <c r="E88" s="1200">
        <v>10</v>
      </c>
      <c r="F88" s="1086">
        <v>4000</v>
      </c>
      <c r="G88" s="1086">
        <f t="shared" ref="G88:G92" si="23">E88*F88/1000</f>
        <v>40</v>
      </c>
    </row>
    <row r="89" spans="1:7">
      <c r="A89" s="1200">
        <v>47</v>
      </c>
      <c r="B89" s="1201" t="s">
        <v>1244</v>
      </c>
      <c r="C89" s="1200" t="s">
        <v>1480</v>
      </c>
      <c r="D89" s="1200" t="s">
        <v>484</v>
      </c>
      <c r="E89" s="1200">
        <v>20</v>
      </c>
      <c r="F89" s="1086">
        <v>4500</v>
      </c>
      <c r="G89" s="1086">
        <f t="shared" si="23"/>
        <v>90</v>
      </c>
    </row>
    <row r="90" spans="1:7">
      <c r="A90" s="1200">
        <v>48</v>
      </c>
      <c r="B90" s="1201" t="s">
        <v>1244</v>
      </c>
      <c r="C90" s="1200" t="s">
        <v>667</v>
      </c>
      <c r="D90" s="1200" t="s">
        <v>485</v>
      </c>
      <c r="E90" s="1200">
        <v>80</v>
      </c>
      <c r="F90" s="1086">
        <v>100</v>
      </c>
      <c r="G90" s="1086">
        <f t="shared" si="23"/>
        <v>8</v>
      </c>
    </row>
    <row r="91" spans="1:7">
      <c r="A91" s="1200">
        <v>49</v>
      </c>
      <c r="B91" s="1201" t="s">
        <v>652</v>
      </c>
      <c r="C91" s="1200" t="s">
        <v>1255</v>
      </c>
      <c r="D91" s="1200" t="s">
        <v>485</v>
      </c>
      <c r="E91" s="1200">
        <v>50</v>
      </c>
      <c r="F91" s="1086">
        <v>200</v>
      </c>
      <c r="G91" s="1086">
        <f t="shared" si="23"/>
        <v>10</v>
      </c>
    </row>
    <row r="92" spans="1:7">
      <c r="A92" s="1200">
        <v>50</v>
      </c>
      <c r="B92" s="1201" t="s">
        <v>652</v>
      </c>
      <c r="C92" s="1200" t="s">
        <v>653</v>
      </c>
      <c r="D92" s="1200" t="s">
        <v>485</v>
      </c>
      <c r="E92" s="1200">
        <v>10</v>
      </c>
      <c r="F92" s="1086">
        <v>200</v>
      </c>
      <c r="G92" s="1086">
        <f t="shared" si="23"/>
        <v>2</v>
      </c>
    </row>
    <row r="93" spans="1:7">
      <c r="A93" s="1202"/>
      <c r="B93" s="1202"/>
      <c r="C93" s="1203" t="s">
        <v>1426</v>
      </c>
      <c r="D93" s="1196"/>
      <c r="E93" s="1202"/>
      <c r="F93" s="1202"/>
      <c r="G93" s="1202"/>
    </row>
    <row r="94" spans="1:7">
      <c r="A94" s="1200">
        <v>51</v>
      </c>
      <c r="B94" s="1201" t="s">
        <v>1235</v>
      </c>
      <c r="C94" s="1204" t="s">
        <v>1481</v>
      </c>
      <c r="D94" s="1200" t="s">
        <v>1236</v>
      </c>
      <c r="E94" s="1200">
        <v>20</v>
      </c>
      <c r="F94" s="1086">
        <v>20100</v>
      </c>
      <c r="G94" s="1086">
        <f>E94*F94/1000</f>
        <v>402</v>
      </c>
    </row>
    <row r="95" spans="1:7" ht="31.5">
      <c r="A95" s="1200">
        <v>52</v>
      </c>
      <c r="B95" s="1201" t="s">
        <v>1235</v>
      </c>
      <c r="C95" s="1204" t="s">
        <v>1482</v>
      </c>
      <c r="D95" s="1200" t="s">
        <v>484</v>
      </c>
      <c r="E95" s="1200">
        <v>10</v>
      </c>
      <c r="F95" s="1086">
        <v>8000</v>
      </c>
      <c r="G95" s="1086">
        <f t="shared" ref="G95:G98" si="24">E95*F95/1000</f>
        <v>80</v>
      </c>
    </row>
    <row r="96" spans="1:7">
      <c r="A96" s="1200">
        <v>53</v>
      </c>
      <c r="B96" s="1201" t="s">
        <v>1235</v>
      </c>
      <c r="C96" s="1204" t="s">
        <v>1483</v>
      </c>
      <c r="D96" s="1200" t="s">
        <v>609</v>
      </c>
      <c r="E96" s="1200">
        <v>20</v>
      </c>
      <c r="F96" s="1086">
        <v>7125</v>
      </c>
      <c r="G96" s="1086">
        <f t="shared" si="24"/>
        <v>142.5</v>
      </c>
    </row>
    <row r="97" spans="1:7" ht="31.5">
      <c r="A97" s="1200">
        <v>54</v>
      </c>
      <c r="B97" s="1201" t="s">
        <v>654</v>
      </c>
      <c r="C97" s="1204" t="s">
        <v>1484</v>
      </c>
      <c r="D97" s="1200" t="s">
        <v>484</v>
      </c>
      <c r="E97" s="1200">
        <v>150</v>
      </c>
      <c r="F97" s="1086">
        <v>4200</v>
      </c>
      <c r="G97" s="1086">
        <f t="shared" si="24"/>
        <v>630</v>
      </c>
    </row>
    <row r="98" spans="1:7" ht="31.5">
      <c r="A98" s="1200">
        <v>55</v>
      </c>
      <c r="B98" s="1201" t="s">
        <v>654</v>
      </c>
      <c r="C98" s="1204" t="s">
        <v>1485</v>
      </c>
      <c r="D98" s="1200" t="s">
        <v>484</v>
      </c>
      <c r="E98" s="1200">
        <v>100</v>
      </c>
      <c r="F98" s="1086">
        <v>6080</v>
      </c>
      <c r="G98" s="1086">
        <f t="shared" si="24"/>
        <v>608</v>
      </c>
    </row>
    <row r="99" spans="1:7">
      <c r="A99" s="1200"/>
      <c r="B99" s="1202"/>
      <c r="C99" s="1203" t="s">
        <v>1427</v>
      </c>
      <c r="D99" s="1196"/>
      <c r="E99" s="1202"/>
      <c r="F99" s="1202"/>
      <c r="G99" s="1202"/>
    </row>
    <row r="100" spans="1:7" ht="31.5">
      <c r="A100" s="1200">
        <v>56</v>
      </c>
      <c r="B100" s="1201" t="s">
        <v>655</v>
      </c>
      <c r="C100" s="1204" t="s">
        <v>1486</v>
      </c>
      <c r="D100" s="1200" t="s">
        <v>481</v>
      </c>
      <c r="E100" s="1200">
        <v>5</v>
      </c>
      <c r="F100" s="1086">
        <v>3500</v>
      </c>
      <c r="G100" s="1086">
        <f t="shared" ref="G100:G104" si="25">E100*F100/1000</f>
        <v>17.5</v>
      </c>
    </row>
    <row r="101" spans="1:7">
      <c r="A101" s="1200">
        <v>57</v>
      </c>
      <c r="B101" s="1201" t="s">
        <v>656</v>
      </c>
      <c r="C101" s="1200" t="s">
        <v>1487</v>
      </c>
      <c r="D101" s="1200" t="s">
        <v>481</v>
      </c>
      <c r="E101" s="1200">
        <v>20</v>
      </c>
      <c r="F101" s="1086">
        <v>2100</v>
      </c>
      <c r="G101" s="1086">
        <f t="shared" si="25"/>
        <v>42</v>
      </c>
    </row>
    <row r="102" spans="1:7">
      <c r="A102" s="1200">
        <v>58</v>
      </c>
      <c r="B102" s="1201" t="s">
        <v>656</v>
      </c>
      <c r="C102" s="1200" t="s">
        <v>1488</v>
      </c>
      <c r="D102" s="1200" t="s">
        <v>481</v>
      </c>
      <c r="E102" s="1200">
        <v>5</v>
      </c>
      <c r="F102" s="1086">
        <v>2600</v>
      </c>
      <c r="G102" s="1086">
        <f t="shared" si="25"/>
        <v>13</v>
      </c>
    </row>
    <row r="103" spans="1:7" ht="47.25">
      <c r="A103" s="1200">
        <v>59</v>
      </c>
      <c r="B103" s="1201" t="s">
        <v>656</v>
      </c>
      <c r="C103" s="1087" t="s">
        <v>1489</v>
      </c>
      <c r="D103" s="1200" t="s">
        <v>481</v>
      </c>
      <c r="E103" s="1200">
        <v>40</v>
      </c>
      <c r="F103" s="1086">
        <v>6200</v>
      </c>
      <c r="G103" s="1086">
        <f t="shared" si="25"/>
        <v>248</v>
      </c>
    </row>
    <row r="104" spans="1:7">
      <c r="A104" s="1200">
        <v>60</v>
      </c>
      <c r="B104" s="1201" t="s">
        <v>656</v>
      </c>
      <c r="C104" s="1200" t="s">
        <v>1490</v>
      </c>
      <c r="D104" s="1200" t="s">
        <v>481</v>
      </c>
      <c r="E104" s="1200">
        <v>10</v>
      </c>
      <c r="F104" s="1086">
        <v>3365</v>
      </c>
      <c r="G104" s="1086">
        <f t="shared" si="25"/>
        <v>33.65</v>
      </c>
    </row>
    <row r="105" spans="1:7" ht="28.5">
      <c r="A105" s="1202"/>
      <c r="B105" s="1202"/>
      <c r="C105" s="1203" t="s">
        <v>1428</v>
      </c>
      <c r="D105" s="1196"/>
      <c r="E105" s="1202"/>
      <c r="F105" s="1202"/>
      <c r="G105" s="1202"/>
    </row>
    <row r="106" spans="1:7">
      <c r="A106" s="1200">
        <v>61</v>
      </c>
      <c r="B106" s="1201" t="s">
        <v>657</v>
      </c>
      <c r="C106" s="1200" t="s">
        <v>1259</v>
      </c>
      <c r="D106" s="1200" t="s">
        <v>481</v>
      </c>
      <c r="E106" s="1200">
        <v>300</v>
      </c>
      <c r="F106" s="1086">
        <v>200</v>
      </c>
      <c r="G106" s="1086">
        <f t="shared" ref="G106:G123" si="26">E106*F106/1000</f>
        <v>60</v>
      </c>
    </row>
    <row r="107" spans="1:7">
      <c r="A107" s="1200">
        <v>62</v>
      </c>
      <c r="B107" s="1201" t="s">
        <v>657</v>
      </c>
      <c r="C107" s="1200" t="s">
        <v>1260</v>
      </c>
      <c r="D107" s="1200" t="s">
        <v>481</v>
      </c>
      <c r="E107" s="1200">
        <v>50</v>
      </c>
      <c r="F107" s="1086">
        <v>250</v>
      </c>
      <c r="G107" s="1086">
        <f t="shared" si="26"/>
        <v>12.5</v>
      </c>
    </row>
    <row r="108" spans="1:7">
      <c r="A108" s="1200">
        <v>63</v>
      </c>
      <c r="B108" s="1201" t="s">
        <v>658</v>
      </c>
      <c r="C108" s="1200" t="s">
        <v>659</v>
      </c>
      <c r="D108" s="1200" t="s">
        <v>481</v>
      </c>
      <c r="E108" s="1200">
        <v>20</v>
      </c>
      <c r="F108" s="1086">
        <v>300</v>
      </c>
      <c r="G108" s="1086">
        <f t="shared" si="26"/>
        <v>6</v>
      </c>
    </row>
    <row r="109" spans="1:7">
      <c r="A109" s="1200">
        <v>64</v>
      </c>
      <c r="B109" s="1201" t="s">
        <v>658</v>
      </c>
      <c r="C109" s="1200" t="s">
        <v>1261</v>
      </c>
      <c r="D109" s="1200" t="s">
        <v>484</v>
      </c>
      <c r="E109" s="1200">
        <v>10</v>
      </c>
      <c r="F109" s="1086">
        <v>750</v>
      </c>
      <c r="G109" s="1086">
        <f t="shared" si="26"/>
        <v>7.5</v>
      </c>
    </row>
    <row r="110" spans="1:7">
      <c r="A110" s="1200">
        <v>65</v>
      </c>
      <c r="B110" s="1201" t="s">
        <v>658</v>
      </c>
      <c r="C110" s="1200" t="s">
        <v>1491</v>
      </c>
      <c r="D110" s="1200" t="s">
        <v>484</v>
      </c>
      <c r="E110" s="1200">
        <v>10</v>
      </c>
      <c r="F110" s="1086">
        <v>400</v>
      </c>
      <c r="G110" s="1086">
        <f t="shared" si="26"/>
        <v>4</v>
      </c>
    </row>
    <row r="111" spans="1:7">
      <c r="A111" s="1200">
        <v>66</v>
      </c>
      <c r="B111" s="1201" t="s">
        <v>658</v>
      </c>
      <c r="C111" s="1204" t="s">
        <v>1263</v>
      </c>
      <c r="D111" s="1200" t="s">
        <v>481</v>
      </c>
      <c r="E111" s="1200">
        <v>80</v>
      </c>
      <c r="F111" s="1086">
        <v>330</v>
      </c>
      <c r="G111" s="1086">
        <f t="shared" si="26"/>
        <v>26.4</v>
      </c>
    </row>
    <row r="112" spans="1:7">
      <c r="A112" s="1200">
        <v>67</v>
      </c>
      <c r="B112" s="1201" t="s">
        <v>660</v>
      </c>
      <c r="C112" s="1200" t="s">
        <v>661</v>
      </c>
      <c r="D112" s="1200" t="s">
        <v>484</v>
      </c>
      <c r="E112" s="1200">
        <v>5</v>
      </c>
      <c r="F112" s="1086">
        <v>1590</v>
      </c>
      <c r="G112" s="1086">
        <f t="shared" si="26"/>
        <v>7.95</v>
      </c>
    </row>
    <row r="113" spans="1:7" ht="31.5">
      <c r="A113" s="1200">
        <v>68</v>
      </c>
      <c r="B113" s="1201" t="s">
        <v>660</v>
      </c>
      <c r="C113" s="1204" t="s">
        <v>1262</v>
      </c>
      <c r="D113" s="1200" t="s">
        <v>481</v>
      </c>
      <c r="E113" s="1200">
        <v>300</v>
      </c>
      <c r="F113" s="1086">
        <v>400</v>
      </c>
      <c r="G113" s="1086">
        <f t="shared" si="26"/>
        <v>120</v>
      </c>
    </row>
    <row r="114" spans="1:7" ht="31.5">
      <c r="A114" s="1200">
        <v>69</v>
      </c>
      <c r="B114" s="1201" t="s">
        <v>662</v>
      </c>
      <c r="C114" s="1088" t="s">
        <v>610</v>
      </c>
      <c r="D114" s="1200" t="s">
        <v>484</v>
      </c>
      <c r="E114" s="1200">
        <v>8</v>
      </c>
      <c r="F114" s="1086">
        <v>4500</v>
      </c>
      <c r="G114" s="1086">
        <f t="shared" si="26"/>
        <v>36</v>
      </c>
    </row>
    <row r="115" spans="1:7">
      <c r="A115" s="1200">
        <v>70</v>
      </c>
      <c r="B115" s="1201" t="s">
        <v>663</v>
      </c>
      <c r="C115" s="1088" t="s">
        <v>1264</v>
      </c>
      <c r="D115" s="1200" t="s">
        <v>481</v>
      </c>
      <c r="E115" s="1200">
        <v>100</v>
      </c>
      <c r="F115" s="1086">
        <v>200</v>
      </c>
      <c r="G115" s="1086">
        <f t="shared" si="26"/>
        <v>20</v>
      </c>
    </row>
    <row r="116" spans="1:7">
      <c r="A116" s="1200">
        <v>71</v>
      </c>
      <c r="B116" s="1201" t="s">
        <v>664</v>
      </c>
      <c r="C116" s="1088" t="s">
        <v>1265</v>
      </c>
      <c r="D116" s="1200" t="s">
        <v>481</v>
      </c>
      <c r="E116" s="1200">
        <v>200</v>
      </c>
      <c r="F116" s="1086">
        <v>40</v>
      </c>
      <c r="G116" s="1086">
        <f t="shared" si="26"/>
        <v>8</v>
      </c>
    </row>
    <row r="117" spans="1:7">
      <c r="A117" s="1200">
        <v>72</v>
      </c>
      <c r="B117" s="1201" t="s">
        <v>664</v>
      </c>
      <c r="C117" s="1088" t="s">
        <v>1266</v>
      </c>
      <c r="D117" s="1200" t="s">
        <v>481</v>
      </c>
      <c r="E117" s="1200">
        <v>200</v>
      </c>
      <c r="F117" s="1086">
        <v>35</v>
      </c>
      <c r="G117" s="1086">
        <f t="shared" si="26"/>
        <v>7</v>
      </c>
    </row>
    <row r="118" spans="1:7">
      <c r="A118" s="1200">
        <v>73</v>
      </c>
      <c r="B118" s="1201" t="s">
        <v>664</v>
      </c>
      <c r="C118" s="1088" t="s">
        <v>1267</v>
      </c>
      <c r="D118" s="1200" t="s">
        <v>481</v>
      </c>
      <c r="E118" s="1200">
        <v>50</v>
      </c>
      <c r="F118" s="1086">
        <v>40</v>
      </c>
      <c r="G118" s="1086">
        <f t="shared" si="26"/>
        <v>2</v>
      </c>
    </row>
    <row r="119" spans="1:7">
      <c r="A119" s="1200">
        <v>74</v>
      </c>
      <c r="B119" s="1201" t="s">
        <v>1268</v>
      </c>
      <c r="C119" s="1200" t="s">
        <v>665</v>
      </c>
      <c r="D119" s="1200" t="s">
        <v>481</v>
      </c>
      <c r="E119" s="1200">
        <v>300</v>
      </c>
      <c r="F119" s="1086">
        <v>100</v>
      </c>
      <c r="G119" s="1086">
        <f t="shared" si="26"/>
        <v>30</v>
      </c>
    </row>
    <row r="120" spans="1:7" ht="31.5">
      <c r="A120" s="1200">
        <v>75</v>
      </c>
      <c r="B120" s="1201" t="s">
        <v>666</v>
      </c>
      <c r="C120" s="1204" t="s">
        <v>1492</v>
      </c>
      <c r="D120" s="1200" t="s">
        <v>481</v>
      </c>
      <c r="E120" s="1200">
        <v>200</v>
      </c>
      <c r="F120" s="1086">
        <v>4200</v>
      </c>
      <c r="G120" s="1086">
        <f t="shared" si="26"/>
        <v>840</v>
      </c>
    </row>
    <row r="121" spans="1:7">
      <c r="A121" s="1200">
        <v>76</v>
      </c>
      <c r="B121" s="1201" t="s">
        <v>666</v>
      </c>
      <c r="C121" s="1200" t="s">
        <v>1493</v>
      </c>
      <c r="D121" s="1200" t="s">
        <v>481</v>
      </c>
      <c r="E121" s="1200">
        <v>10</v>
      </c>
      <c r="F121" s="1086">
        <v>3000</v>
      </c>
      <c r="G121" s="1086">
        <f t="shared" si="26"/>
        <v>30</v>
      </c>
    </row>
    <row r="122" spans="1:7">
      <c r="A122" s="1200">
        <v>77</v>
      </c>
      <c r="B122" s="1201" t="s">
        <v>666</v>
      </c>
      <c r="C122" s="1200" t="s">
        <v>1494</v>
      </c>
      <c r="D122" s="1200" t="s">
        <v>481</v>
      </c>
      <c r="E122" s="1200">
        <v>10</v>
      </c>
      <c r="F122" s="1086">
        <v>6000</v>
      </c>
      <c r="G122" s="1086">
        <f t="shared" si="26"/>
        <v>60</v>
      </c>
    </row>
    <row r="123" spans="1:7">
      <c r="A123" s="1200">
        <v>78</v>
      </c>
      <c r="B123" s="1201" t="s">
        <v>666</v>
      </c>
      <c r="C123" s="1204" t="s">
        <v>1495</v>
      </c>
      <c r="D123" s="1200" t="s">
        <v>481</v>
      </c>
      <c r="E123" s="1200">
        <v>10</v>
      </c>
      <c r="F123" s="1086">
        <v>6000</v>
      </c>
      <c r="G123" s="1086">
        <f t="shared" si="26"/>
        <v>60</v>
      </c>
    </row>
    <row r="124" spans="1:7">
      <c r="A124" s="1609" t="s">
        <v>478</v>
      </c>
      <c r="B124" s="1609"/>
      <c r="C124" s="1609"/>
      <c r="D124" s="1609"/>
      <c r="E124" s="1609"/>
      <c r="F124" s="1609"/>
      <c r="G124" s="1206">
        <f>SUM(G8:G123)</f>
        <v>10000.450000000001</v>
      </c>
    </row>
    <row r="125" spans="1:7" ht="104.25" customHeight="1">
      <c r="A125" s="1610" t="s">
        <v>642</v>
      </c>
      <c r="B125" s="1610"/>
      <c r="C125" s="1610"/>
      <c r="D125" s="1610"/>
      <c r="E125" s="1610"/>
      <c r="F125" s="1610"/>
      <c r="G125" s="1610"/>
    </row>
    <row r="126" spans="1:7">
      <c r="A126" s="1208"/>
      <c r="B126" s="1208"/>
      <c r="C126" s="1209"/>
      <c r="D126" s="653"/>
      <c r="E126" s="108"/>
      <c r="F126" s="654"/>
      <c r="G126" s="1208"/>
    </row>
    <row r="127" spans="1:7">
      <c r="A127" s="1208" t="s">
        <v>640</v>
      </c>
      <c r="B127" s="1208"/>
      <c r="C127" s="1209"/>
      <c r="D127" s="653"/>
      <c r="E127" s="1208" t="s">
        <v>1167</v>
      </c>
      <c r="F127" s="1208"/>
      <c r="G127" s="1210"/>
    </row>
    <row r="128" spans="1:7">
      <c r="A128" s="1208"/>
      <c r="B128" s="1208"/>
      <c r="C128" s="1209"/>
      <c r="D128" s="653"/>
      <c r="E128" s="1208"/>
      <c r="F128" s="1208"/>
      <c r="G128" s="1208"/>
    </row>
    <row r="129" spans="1:8">
      <c r="A129" s="1208"/>
      <c r="B129" s="1208"/>
      <c r="C129" s="1209"/>
      <c r="D129" s="653"/>
      <c r="E129" s="1208"/>
      <c r="F129" s="1208"/>
      <c r="G129" s="1208"/>
      <c r="H129" s="1207"/>
    </row>
    <row r="130" spans="1:8" ht="23.25" customHeight="1">
      <c r="A130" s="1208" t="s">
        <v>1166</v>
      </c>
      <c r="B130" s="1208"/>
      <c r="C130" s="1209"/>
      <c r="D130" s="653"/>
      <c r="E130" s="1611" t="s">
        <v>1168</v>
      </c>
      <c r="F130" s="1611"/>
      <c r="G130" s="1208"/>
      <c r="H130" s="652"/>
    </row>
    <row r="131" spans="1:8">
      <c r="A131" s="1210"/>
      <c r="B131" s="1210"/>
      <c r="C131" s="1211"/>
      <c r="D131" s="653"/>
      <c r="E131" s="117"/>
      <c r="F131" s="654"/>
      <c r="G131" s="1210"/>
      <c r="H131" s="652"/>
    </row>
    <row r="132" spans="1:8">
      <c r="A132" s="1208"/>
      <c r="B132" s="1210"/>
      <c r="C132" s="1209"/>
      <c r="D132" s="653"/>
      <c r="E132" s="117"/>
      <c r="F132" s="654"/>
      <c r="G132" s="1208"/>
      <c r="H132" s="652"/>
    </row>
    <row r="133" spans="1:8">
      <c r="H133" s="652"/>
    </row>
    <row r="134" spans="1:8">
      <c r="H134" s="652"/>
    </row>
    <row r="135" spans="1:8">
      <c r="H135" s="652"/>
    </row>
    <row r="136" spans="1:8">
      <c r="H136" s="652"/>
    </row>
    <row r="137" spans="1:8">
      <c r="H137" s="652"/>
    </row>
  </sheetData>
  <mergeCells count="5">
    <mergeCell ref="A1:G1"/>
    <mergeCell ref="A2:G2"/>
    <mergeCell ref="A124:F124"/>
    <mergeCell ref="A125:G125"/>
    <mergeCell ref="E130:F130"/>
  </mergeCells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0"/>
  <sheetViews>
    <sheetView view="pageBreakPreview" topLeftCell="A10" zoomScaleNormal="100" zoomScaleSheetLayoutView="100" workbookViewId="0">
      <selection activeCell="P5" sqref="P5"/>
    </sheetView>
  </sheetViews>
  <sheetFormatPr defaultColWidth="9.140625" defaultRowHeight="15.75"/>
  <cols>
    <col min="1" max="1" width="24.28515625" style="559" customWidth="1"/>
    <col min="2" max="2" width="10.7109375" style="559" customWidth="1"/>
    <col min="3" max="3" width="8.28515625" style="559" customWidth="1"/>
    <col min="4" max="4" width="9.140625" style="559"/>
    <col min="5" max="5" width="11.85546875" style="560" customWidth="1"/>
    <col min="6" max="6" width="9.5703125" style="559" bestFit="1" customWidth="1"/>
    <col min="7" max="7" width="11" style="560" customWidth="1"/>
    <col min="8" max="8" width="11.7109375" style="559" customWidth="1"/>
    <col min="9" max="9" width="8.5703125" style="561" customWidth="1"/>
    <col min="10" max="10" width="10.140625" style="560" customWidth="1"/>
    <col min="11" max="11" width="11.28515625" style="559" bestFit="1" customWidth="1"/>
    <col min="12" max="12" width="22.28515625" style="559" customWidth="1"/>
    <col min="13" max="14" width="9.140625" style="559"/>
    <col min="15" max="15" width="11.85546875" style="559" bestFit="1" customWidth="1"/>
    <col min="16" max="16384" width="9.140625" style="559"/>
  </cols>
  <sheetData>
    <row r="1" spans="1:16">
      <c r="A1" s="1614" t="s">
        <v>1229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</row>
    <row r="2" spans="1:16" ht="15.75" customHeight="1">
      <c r="A2" s="1615" t="s">
        <v>672</v>
      </c>
      <c r="B2" s="1615"/>
      <c r="C2" s="1615"/>
      <c r="D2" s="1615"/>
      <c r="E2" s="1615"/>
      <c r="F2" s="1615"/>
      <c r="G2" s="1615"/>
      <c r="H2" s="1615"/>
      <c r="I2" s="1615"/>
      <c r="J2" s="1615"/>
      <c r="K2" s="1615"/>
      <c r="L2" s="1615"/>
    </row>
    <row r="3" spans="1:16">
      <c r="A3" s="894"/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</row>
    <row r="5" spans="1:16" s="545" customFormat="1" ht="191.25">
      <c r="A5" s="546" t="s">
        <v>493</v>
      </c>
      <c r="B5" s="546" t="s">
        <v>494</v>
      </c>
      <c r="C5" s="546" t="s">
        <v>495</v>
      </c>
      <c r="D5" s="546" t="s">
        <v>496</v>
      </c>
      <c r="E5" s="546" t="s">
        <v>497</v>
      </c>
      <c r="F5" s="546" t="s">
        <v>498</v>
      </c>
      <c r="G5" s="546" t="s">
        <v>499</v>
      </c>
      <c r="H5" s="546" t="s">
        <v>500</v>
      </c>
      <c r="I5" s="546" t="s">
        <v>501</v>
      </c>
      <c r="J5" s="546" t="s">
        <v>502</v>
      </c>
      <c r="K5" s="547" t="s">
        <v>236</v>
      </c>
      <c r="L5" s="546" t="s">
        <v>1163</v>
      </c>
    </row>
    <row r="6" spans="1:16" s="109" customFormat="1" ht="12.75">
      <c r="A6" s="575">
        <v>1</v>
      </c>
      <c r="B6" s="575">
        <v>2</v>
      </c>
      <c r="C6" s="575">
        <v>3</v>
      </c>
      <c r="D6" s="575">
        <v>4</v>
      </c>
      <c r="E6" s="575">
        <v>5</v>
      </c>
      <c r="F6" s="575">
        <v>6</v>
      </c>
      <c r="G6" s="575">
        <v>7</v>
      </c>
      <c r="H6" s="575">
        <v>8</v>
      </c>
      <c r="I6" s="575">
        <v>9</v>
      </c>
      <c r="J6" s="575">
        <v>10</v>
      </c>
      <c r="K6" s="575">
        <v>11</v>
      </c>
      <c r="L6" s="575">
        <v>12</v>
      </c>
    </row>
    <row r="7" spans="1:16" s="562" customFormat="1">
      <c r="A7" s="548" t="s">
        <v>237</v>
      </c>
      <c r="B7" s="549"/>
      <c r="C7" s="550"/>
      <c r="D7" s="550"/>
      <c r="E7" s="550"/>
      <c r="F7" s="550"/>
      <c r="G7" s="550"/>
      <c r="H7" s="550"/>
      <c r="I7" s="551"/>
      <c r="J7" s="552"/>
      <c r="K7" s="552"/>
      <c r="L7" s="552"/>
    </row>
    <row r="8" spans="1:16" s="562" customFormat="1">
      <c r="A8" s="552" t="s">
        <v>505</v>
      </c>
      <c r="B8" s="553">
        <v>2</v>
      </c>
      <c r="C8" s="1181">
        <v>2000</v>
      </c>
      <c r="D8" s="1182">
        <v>15.7</v>
      </c>
      <c r="E8" s="551">
        <v>2100</v>
      </c>
      <c r="F8" s="554">
        <f>E8/100*D8</f>
        <v>329.7</v>
      </c>
      <c r="G8" s="1092">
        <v>401.8</v>
      </c>
      <c r="H8" s="554">
        <f>F8*G8</f>
        <v>132473.46</v>
      </c>
      <c r="I8" s="555">
        <f>H8*B8*7/1000</f>
        <v>1854.62844</v>
      </c>
      <c r="J8" s="552">
        <v>0</v>
      </c>
      <c r="K8" s="552">
        <f>F8*B8*7</f>
        <v>4615.8</v>
      </c>
      <c r="L8" s="555">
        <f>J8+I8</f>
        <v>1854.62844</v>
      </c>
      <c r="N8" s="562">
        <f>450/1.12-450</f>
        <v>-48.214285714285779</v>
      </c>
      <c r="O8" s="1011"/>
      <c r="P8" s="562" t="s">
        <v>1375</v>
      </c>
    </row>
    <row r="9" spans="1:16" s="562" customFormat="1">
      <c r="A9" s="552" t="s">
        <v>506</v>
      </c>
      <c r="B9" s="553">
        <v>2</v>
      </c>
      <c r="C9" s="1181">
        <v>2000</v>
      </c>
      <c r="D9" s="1182">
        <v>15.7</v>
      </c>
      <c r="E9" s="551">
        <v>2100</v>
      </c>
      <c r="F9" s="554">
        <f>E9/100*D9</f>
        <v>329.7</v>
      </c>
      <c r="G9" s="1092">
        <v>401.8</v>
      </c>
      <c r="H9" s="554">
        <f>F9*G9</f>
        <v>132473.46</v>
      </c>
      <c r="I9" s="555">
        <f>H9*B9*5/1000</f>
        <v>1324.7345999999998</v>
      </c>
      <c r="J9" s="552">
        <v>0</v>
      </c>
      <c r="K9" s="552">
        <f>F9*B9*5</f>
        <v>3297</v>
      </c>
      <c r="L9" s="555">
        <f>J9+I9</f>
        <v>1324.7345999999998</v>
      </c>
      <c r="N9" s="562">
        <f>N8+450</f>
        <v>401.78571428571422</v>
      </c>
    </row>
    <row r="10" spans="1:16">
      <c r="A10" s="552"/>
      <c r="B10" s="553"/>
      <c r="C10" s="1183"/>
      <c r="D10" s="1182"/>
      <c r="E10" s="551"/>
      <c r="F10" s="554"/>
      <c r="G10" s="551"/>
      <c r="H10" s="554"/>
      <c r="I10" s="552"/>
      <c r="J10" s="552">
        <v>0</v>
      </c>
      <c r="K10" s="557"/>
      <c r="L10" s="710">
        <f>L8+L9</f>
        <v>3179.3630399999997</v>
      </c>
      <c r="M10" s="566"/>
      <c r="O10" s="562"/>
    </row>
    <row r="11" spans="1:16">
      <c r="A11" s="557" t="s">
        <v>446</v>
      </c>
      <c r="B11" s="553"/>
      <c r="C11" s="1183"/>
      <c r="D11" s="1182"/>
      <c r="E11" s="551"/>
      <c r="F11" s="554"/>
      <c r="G11" s="558"/>
      <c r="H11" s="554"/>
      <c r="I11" s="552"/>
      <c r="J11" s="552">
        <v>0</v>
      </c>
      <c r="K11" s="552"/>
      <c r="L11" s="555"/>
      <c r="O11" s="562"/>
    </row>
    <row r="12" spans="1:16">
      <c r="A12" s="552" t="s">
        <v>503</v>
      </c>
      <c r="B12" s="553">
        <v>1</v>
      </c>
      <c r="C12" s="1183">
        <v>2000</v>
      </c>
      <c r="D12" s="1184">
        <v>10.3</v>
      </c>
      <c r="E12" s="551">
        <v>2100</v>
      </c>
      <c r="F12" s="554">
        <f>E12/100*D12</f>
        <v>216.3</v>
      </c>
      <c r="G12" s="703">
        <v>183</v>
      </c>
      <c r="H12" s="554">
        <f>F12*G12</f>
        <v>39582.9</v>
      </c>
      <c r="I12" s="555">
        <f>H12*B12*7/1000</f>
        <v>277.08029999999997</v>
      </c>
      <c r="J12" s="552">
        <v>0</v>
      </c>
      <c r="K12" s="552">
        <f>F12*B12*7</f>
        <v>1514.1000000000001</v>
      </c>
      <c r="L12" s="555">
        <f>J12+I12</f>
        <v>277.08029999999997</v>
      </c>
      <c r="N12" s="559">
        <f>205/1.12-205</f>
        <v>-21.964285714285722</v>
      </c>
      <c r="O12" s="1011"/>
    </row>
    <row r="13" spans="1:16">
      <c r="A13" s="552" t="s">
        <v>504</v>
      </c>
      <c r="B13" s="553">
        <v>1</v>
      </c>
      <c r="C13" s="1183">
        <v>2000</v>
      </c>
      <c r="D13" s="1182">
        <v>10.3</v>
      </c>
      <c r="E13" s="551">
        <v>2100</v>
      </c>
      <c r="F13" s="554">
        <f>E13/100*D13</f>
        <v>216.3</v>
      </c>
      <c r="G13" s="703">
        <v>183</v>
      </c>
      <c r="H13" s="554">
        <f>F13*G13</f>
        <v>39582.9</v>
      </c>
      <c r="I13" s="555">
        <f>H13*B13*5/1000</f>
        <v>197.9145</v>
      </c>
      <c r="J13" s="552">
        <v>0</v>
      </c>
      <c r="K13" s="552">
        <f>F13*B13*5</f>
        <v>1081.5</v>
      </c>
      <c r="L13" s="555">
        <f>J13+I13</f>
        <v>197.9145</v>
      </c>
      <c r="O13" s="1011"/>
    </row>
    <row r="14" spans="1:16">
      <c r="A14" s="552"/>
      <c r="B14" s="553"/>
      <c r="C14" s="552"/>
      <c r="D14" s="552"/>
      <c r="E14" s="551"/>
      <c r="F14" s="554"/>
      <c r="G14" s="556"/>
      <c r="H14" s="554"/>
      <c r="I14" s="552"/>
      <c r="J14" s="552">
        <v>0</v>
      </c>
      <c r="K14" s="557"/>
      <c r="L14" s="710">
        <f>L12+L13</f>
        <v>474.99479999999994</v>
      </c>
      <c r="M14" s="566"/>
      <c r="O14" s="562"/>
    </row>
    <row r="15" spans="1:16" s="565" customFormat="1">
      <c r="A15" s="1612" t="s">
        <v>242</v>
      </c>
      <c r="B15" s="1612"/>
      <c r="C15" s="1612"/>
      <c r="D15" s="1612"/>
      <c r="E15" s="1612"/>
      <c r="F15" s="1612"/>
      <c r="G15" s="1612"/>
      <c r="H15" s="1612"/>
      <c r="I15" s="564"/>
      <c r="J15" s="564" t="s">
        <v>27</v>
      </c>
      <c r="K15" s="564"/>
      <c r="L15" s="564">
        <f>L10+L14</f>
        <v>3654.3578399999997</v>
      </c>
      <c r="M15" s="727">
        <v>3674</v>
      </c>
      <c r="O15" s="1012"/>
    </row>
    <row r="16" spans="1:16">
      <c r="C16" s="563" t="s">
        <v>238</v>
      </c>
      <c r="E16" s="561">
        <f>K8+K9</f>
        <v>7912.8</v>
      </c>
      <c r="H16" s="563" t="s">
        <v>239</v>
      </c>
      <c r="J16" s="561">
        <f>K12+K13</f>
        <v>2595.6000000000004</v>
      </c>
    </row>
    <row r="17" spans="1:11">
      <c r="C17" s="563" t="s">
        <v>240</v>
      </c>
      <c r="E17" s="561">
        <f>L8+L9</f>
        <v>3179.3630399999997</v>
      </c>
      <c r="H17" s="563" t="s">
        <v>241</v>
      </c>
      <c r="J17" s="560">
        <f>L12+L13</f>
        <v>474.99479999999994</v>
      </c>
    </row>
    <row r="18" spans="1:11" ht="12.75" customHeight="1">
      <c r="J18" s="561"/>
      <c r="K18" s="561"/>
    </row>
    <row r="19" spans="1:11">
      <c r="A19" s="562" t="s">
        <v>243</v>
      </c>
      <c r="B19" s="562"/>
      <c r="C19" s="562"/>
      <c r="D19" s="562"/>
      <c r="E19" s="1090"/>
      <c r="F19" s="562"/>
      <c r="G19" s="1090"/>
      <c r="H19" s="562"/>
      <c r="I19" s="1091"/>
      <c r="J19" s="1090"/>
      <c r="K19" s="566"/>
    </row>
    <row r="20" spans="1:11">
      <c r="A20" s="1613" t="s">
        <v>244</v>
      </c>
      <c r="B20" s="1613"/>
      <c r="C20" s="1613"/>
      <c r="D20" s="1613"/>
      <c r="E20" s="1613"/>
      <c r="F20" s="1613"/>
      <c r="G20" s="1613"/>
      <c r="H20" s="1613"/>
      <c r="I20" s="1613"/>
      <c r="J20" s="1613"/>
    </row>
    <row r="21" spans="1:11">
      <c r="A21" s="567"/>
      <c r="B21" s="568"/>
      <c r="C21" s="568"/>
      <c r="D21" s="569"/>
      <c r="E21" s="569"/>
      <c r="F21" s="568"/>
      <c r="G21" s="568"/>
      <c r="H21" s="568"/>
      <c r="I21" s="569"/>
      <c r="J21" s="568"/>
      <c r="K21" s="561"/>
    </row>
    <row r="22" spans="1:11">
      <c r="A22" s="570"/>
      <c r="B22" s="570"/>
      <c r="C22" s="570"/>
      <c r="D22" s="570"/>
      <c r="E22" s="570"/>
      <c r="F22" s="570"/>
      <c r="G22" s="570"/>
      <c r="H22" s="570"/>
      <c r="I22" s="570"/>
      <c r="J22" s="570"/>
    </row>
    <row r="23" spans="1:11">
      <c r="A23" s="571"/>
      <c r="B23" s="571"/>
      <c r="C23" s="572"/>
      <c r="D23" s="573"/>
      <c r="E23" s="573"/>
      <c r="F23" s="574"/>
    </row>
    <row r="24" spans="1:11" ht="18.75">
      <c r="A24" s="674" t="s">
        <v>640</v>
      </c>
      <c r="B24" s="674"/>
      <c r="C24" s="742"/>
      <c r="D24" s="653"/>
      <c r="E24" s="108"/>
      <c r="F24" s="654"/>
      <c r="G24" s="674" t="s">
        <v>1167</v>
      </c>
      <c r="H24" s="674"/>
    </row>
    <row r="25" spans="1:11" ht="18.75">
      <c r="A25" s="674"/>
      <c r="B25" s="674"/>
      <c r="C25" s="742"/>
      <c r="D25" s="653"/>
      <c r="E25" s="117"/>
      <c r="F25" s="654"/>
      <c r="G25" s="674"/>
      <c r="H25" s="674"/>
    </row>
    <row r="26" spans="1:11" ht="18.75">
      <c r="A26" s="674"/>
      <c r="B26" s="674"/>
      <c r="C26" s="742"/>
      <c r="D26" s="653"/>
      <c r="E26" s="117"/>
      <c r="F26" s="654"/>
      <c r="G26" s="674"/>
      <c r="H26" s="674"/>
    </row>
    <row r="27" spans="1:11" ht="18.75">
      <c r="A27" s="674" t="s">
        <v>1166</v>
      </c>
      <c r="B27" s="674"/>
      <c r="C27" s="742"/>
      <c r="D27" s="653"/>
      <c r="E27" s="117"/>
      <c r="F27" s="654"/>
      <c r="G27" s="1599" t="s">
        <v>1168</v>
      </c>
      <c r="H27" s="1599"/>
    </row>
    <row r="28" spans="1:11" ht="18.75">
      <c r="A28" s="673"/>
      <c r="B28" s="673"/>
      <c r="C28" s="742"/>
      <c r="D28" s="653"/>
      <c r="E28" s="117"/>
      <c r="F28" s="654"/>
      <c r="G28" s="674"/>
    </row>
    <row r="29" spans="1:11" ht="18.75">
      <c r="A29" s="673"/>
      <c r="B29" s="673"/>
      <c r="C29" s="743"/>
      <c r="D29" s="653"/>
      <c r="E29" s="117"/>
      <c r="F29" s="654"/>
      <c r="G29" s="673"/>
    </row>
    <row r="30" spans="1:11" ht="18.75">
      <c r="A30" s="674"/>
      <c r="B30" s="673"/>
      <c r="C30" s="742"/>
      <c r="D30" s="653"/>
      <c r="E30" s="117"/>
      <c r="F30" s="654"/>
      <c r="G30" s="674"/>
    </row>
  </sheetData>
  <mergeCells count="5">
    <mergeCell ref="A15:H15"/>
    <mergeCell ref="A20:J20"/>
    <mergeCell ref="A1:L1"/>
    <mergeCell ref="A2:L2"/>
    <mergeCell ref="G27:H27"/>
  </mergeCells>
  <pageMargins left="0.7" right="0.7" top="0.75" bottom="0.75" header="0.3" footer="0.3"/>
  <pageSetup paperSize="9"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41"/>
  <sheetViews>
    <sheetView view="pageBreakPreview" zoomScaleNormal="100" zoomScaleSheetLayoutView="100" workbookViewId="0">
      <selection activeCell="A15" sqref="A15:XFD15"/>
    </sheetView>
  </sheetViews>
  <sheetFormatPr defaultColWidth="9.140625" defaultRowHeight="15.75"/>
  <cols>
    <col min="1" max="1" width="5.85546875" style="729" customWidth="1"/>
    <col min="2" max="2" width="53.7109375" style="736" customWidth="1"/>
    <col min="3" max="3" width="14.7109375" style="737" customWidth="1"/>
    <col min="4" max="4" width="20.5703125" style="712" customWidth="1"/>
    <col min="5" max="5" width="26.140625" style="858" customWidth="1"/>
    <col min="6" max="6" width="25" style="859" customWidth="1"/>
    <col min="7" max="16384" width="9.140625" style="712"/>
  </cols>
  <sheetData>
    <row r="1" spans="1:6">
      <c r="B1" s="1617" t="s">
        <v>246</v>
      </c>
      <c r="C1" s="1617"/>
      <c r="D1" s="1617"/>
      <c r="E1" s="1617"/>
      <c r="F1" s="1617"/>
    </row>
    <row r="2" spans="1:6">
      <c r="A2" s="1618" t="s">
        <v>486</v>
      </c>
      <c r="B2" s="1619"/>
      <c r="C2" s="1619"/>
      <c r="D2" s="1619"/>
      <c r="E2" s="1619"/>
      <c r="F2" s="1620"/>
    </row>
    <row r="3" spans="1:6">
      <c r="A3" s="860"/>
      <c r="B3" s="861"/>
      <c r="C3" s="861"/>
      <c r="D3" s="861"/>
      <c r="E3" s="861"/>
      <c r="F3" s="862" t="s">
        <v>224</v>
      </c>
    </row>
    <row r="4" spans="1:6">
      <c r="A4" s="837">
        <v>1</v>
      </c>
      <c r="B4" s="838" t="s">
        <v>480</v>
      </c>
      <c r="C4" s="839" t="s">
        <v>479</v>
      </c>
      <c r="D4" s="839">
        <v>90</v>
      </c>
      <c r="E4" s="840">
        <v>140000</v>
      </c>
      <c r="F4" s="863">
        <f>D4*E4/1000</f>
        <v>12600</v>
      </c>
    </row>
    <row r="5" spans="1:6">
      <c r="A5" s="841"/>
      <c r="B5" s="842" t="s">
        <v>478</v>
      </c>
      <c r="C5" s="843"/>
      <c r="D5" s="841"/>
      <c r="E5" s="844"/>
      <c r="F5" s="864">
        <f>SUM(F4:F4)</f>
        <v>12600</v>
      </c>
    </row>
    <row r="6" spans="1:6">
      <c r="A6" s="1621" t="s">
        <v>252</v>
      </c>
      <c r="B6" s="1621"/>
      <c r="C6" s="1621"/>
      <c r="D6" s="1621"/>
      <c r="E6" s="1621"/>
      <c r="F6" s="1621"/>
    </row>
    <row r="7" spans="1:6" s="731" customFormat="1">
      <c r="A7" s="730" t="s">
        <v>2</v>
      </c>
      <c r="B7" s="730" t="s">
        <v>247</v>
      </c>
      <c r="C7" s="730" t="s">
        <v>248</v>
      </c>
      <c r="D7" s="730" t="s">
        <v>249</v>
      </c>
      <c r="E7" s="845" t="s">
        <v>250</v>
      </c>
      <c r="F7" s="846" t="s">
        <v>251</v>
      </c>
    </row>
    <row r="8" spans="1:6">
      <c r="A8" s="847">
        <v>1</v>
      </c>
      <c r="B8" s="732" t="s">
        <v>1062</v>
      </c>
      <c r="C8" s="847" t="s">
        <v>254</v>
      </c>
      <c r="D8" s="848">
        <v>250</v>
      </c>
      <c r="E8" s="848">
        <v>37000</v>
      </c>
      <c r="F8" s="849">
        <f>D8*E8/1000</f>
        <v>9250</v>
      </c>
    </row>
    <row r="9" spans="1:6">
      <c r="A9" s="847">
        <v>2</v>
      </c>
      <c r="B9" s="732" t="s">
        <v>1063</v>
      </c>
      <c r="C9" s="847" t="s">
        <v>254</v>
      </c>
      <c r="D9" s="848">
        <v>250</v>
      </c>
      <c r="E9" s="848">
        <v>33000</v>
      </c>
      <c r="F9" s="849">
        <f t="shared" ref="F9:F14" si="0">D9*E9/1000</f>
        <v>8250</v>
      </c>
    </row>
    <row r="10" spans="1:6">
      <c r="A10" s="847">
        <v>3</v>
      </c>
      <c r="B10" s="732" t="s">
        <v>1064</v>
      </c>
      <c r="C10" s="847" t="s">
        <v>254</v>
      </c>
      <c r="D10" s="848">
        <v>250</v>
      </c>
      <c r="E10" s="848">
        <v>18000</v>
      </c>
      <c r="F10" s="849">
        <f t="shared" si="0"/>
        <v>4500</v>
      </c>
    </row>
    <row r="11" spans="1:6">
      <c r="A11" s="847">
        <v>4</v>
      </c>
      <c r="B11" s="732" t="s">
        <v>253</v>
      </c>
      <c r="C11" s="847" t="s">
        <v>254</v>
      </c>
      <c r="D11" s="848">
        <v>250</v>
      </c>
      <c r="E11" s="848">
        <v>15000</v>
      </c>
      <c r="F11" s="849">
        <f t="shared" si="0"/>
        <v>3750</v>
      </c>
    </row>
    <row r="12" spans="1:6">
      <c r="A12" s="847">
        <v>5</v>
      </c>
      <c r="B12" s="732" t="s">
        <v>1066</v>
      </c>
      <c r="C12" s="847" t="s">
        <v>254</v>
      </c>
      <c r="D12" s="848">
        <v>250</v>
      </c>
      <c r="E12" s="848">
        <v>28000</v>
      </c>
      <c r="F12" s="849">
        <f t="shared" si="0"/>
        <v>7000</v>
      </c>
    </row>
    <row r="13" spans="1:6">
      <c r="A13" s="847">
        <v>6</v>
      </c>
      <c r="B13" s="732" t="s">
        <v>1067</v>
      </c>
      <c r="C13" s="847" t="s">
        <v>254</v>
      </c>
      <c r="D13" s="848">
        <v>250</v>
      </c>
      <c r="E13" s="848">
        <v>18000</v>
      </c>
      <c r="F13" s="849">
        <f t="shared" si="0"/>
        <v>4500</v>
      </c>
    </row>
    <row r="14" spans="1:6">
      <c r="A14" s="847">
        <v>7</v>
      </c>
      <c r="B14" s="732" t="s">
        <v>1065</v>
      </c>
      <c r="C14" s="847" t="s">
        <v>254</v>
      </c>
      <c r="D14" s="848">
        <v>250</v>
      </c>
      <c r="E14" s="848">
        <v>9500</v>
      </c>
      <c r="F14" s="849">
        <f t="shared" si="0"/>
        <v>2375</v>
      </c>
    </row>
    <row r="15" spans="1:6" ht="31.5" customHeight="1">
      <c r="A15" s="733"/>
      <c r="B15" s="734" t="s">
        <v>255</v>
      </c>
      <c r="C15" s="836"/>
      <c r="D15" s="735"/>
      <c r="E15" s="850" t="s">
        <v>27</v>
      </c>
      <c r="F15" s="851" t="e">
        <f>F8+F9+F10+F13+F11+F12+F14+#REF!</f>
        <v>#REF!</v>
      </c>
    </row>
    <row r="16" spans="1:6" s="482" customFormat="1" ht="15.75" customHeight="1">
      <c r="A16" s="1622" t="s">
        <v>673</v>
      </c>
      <c r="B16" s="1623"/>
      <c r="C16" s="1623"/>
      <c r="D16" s="1623"/>
      <c r="E16" s="1624"/>
      <c r="F16" s="746" t="e">
        <f>F5+F15</f>
        <v>#REF!</v>
      </c>
    </row>
    <row r="17" spans="1:6">
      <c r="A17" s="711"/>
      <c r="B17" s="711"/>
      <c r="C17" s="711"/>
      <c r="D17" s="711"/>
      <c r="E17" s="711"/>
      <c r="F17" s="852"/>
    </row>
    <row r="18" spans="1:6">
      <c r="A18" s="711"/>
      <c r="B18" s="711"/>
      <c r="C18" s="711"/>
      <c r="D18" s="711"/>
      <c r="E18" s="853"/>
      <c r="F18" s="852"/>
    </row>
    <row r="19" spans="1:6">
      <c r="B19" s="1616" t="s">
        <v>863</v>
      </c>
      <c r="C19" s="1616"/>
      <c r="D19" s="1616"/>
      <c r="E19" s="1616"/>
      <c r="F19" s="1616"/>
    </row>
    <row r="20" spans="1:6">
      <c r="B20" s="854"/>
      <c r="C20" s="854"/>
      <c r="D20" s="854"/>
      <c r="E20" s="854"/>
      <c r="F20" s="855"/>
    </row>
    <row r="21" spans="1:6">
      <c r="B21" s="854"/>
      <c r="C21" s="854"/>
      <c r="D21" s="854"/>
      <c r="E21" s="854"/>
      <c r="F21" s="855"/>
    </row>
    <row r="22" spans="1:6">
      <c r="B22" s="856"/>
      <c r="C22" s="856"/>
      <c r="D22" s="856"/>
      <c r="E22" s="856"/>
      <c r="F22" s="857"/>
    </row>
    <row r="23" spans="1:6">
      <c r="B23" s="1616" t="s">
        <v>864</v>
      </c>
      <c r="C23" s="1616"/>
      <c r="D23" s="1616"/>
      <c r="E23" s="1616"/>
      <c r="F23" s="1616"/>
    </row>
    <row r="37" ht="21" customHeight="1"/>
    <row r="41" ht="21" customHeight="1"/>
  </sheetData>
  <mergeCells count="6">
    <mergeCell ref="B19:F19"/>
    <mergeCell ref="B23:F23"/>
    <mergeCell ref="B1:F1"/>
    <mergeCell ref="A2:F2"/>
    <mergeCell ref="A6:F6"/>
    <mergeCell ref="A16:E16"/>
  </mergeCells>
  <pageMargins left="0.7" right="0.7" top="0.75" bottom="0.75" header="0.3" footer="0.3"/>
  <pageSetup paperSize="9" scale="59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4"/>
  <sheetViews>
    <sheetView view="pageBreakPreview" topLeftCell="A130" zoomScaleNormal="100" zoomScaleSheetLayoutView="100" workbookViewId="0">
      <selection activeCell="H142" sqref="H142"/>
    </sheetView>
  </sheetViews>
  <sheetFormatPr defaultColWidth="9.140625" defaultRowHeight="18.75"/>
  <cols>
    <col min="1" max="1" width="5.5703125" style="1418" customWidth="1"/>
    <col min="2" max="2" width="46.140625" style="1419" customWidth="1"/>
    <col min="3" max="3" width="15.5703125" style="1418" customWidth="1"/>
    <col min="4" max="4" width="12" style="1418" customWidth="1"/>
    <col min="5" max="5" width="17.140625" style="1427" customWidth="1"/>
    <col min="6" max="6" width="19.28515625" style="1427" customWidth="1"/>
    <col min="7" max="7" width="17" style="1375" customWidth="1"/>
    <col min="8" max="8" width="18" style="1375" customWidth="1"/>
    <col min="9" max="16384" width="9.140625" style="1375"/>
  </cols>
  <sheetData>
    <row r="1" spans="1:11" ht="18.75" customHeight="1">
      <c r="A1" s="1625" t="s">
        <v>1448</v>
      </c>
      <c r="B1" s="1625"/>
      <c r="C1" s="1625"/>
      <c r="D1" s="1625"/>
      <c r="E1" s="1625"/>
      <c r="F1" s="1625"/>
    </row>
    <row r="2" spans="1:11" s="1379" customFormat="1" ht="18" customHeight="1">
      <c r="A2" s="1625" t="s">
        <v>672</v>
      </c>
      <c r="B2" s="1625"/>
      <c r="C2" s="1625"/>
      <c r="D2" s="1625"/>
      <c r="E2" s="1625"/>
      <c r="F2" s="1625"/>
      <c r="G2" s="1376"/>
      <c r="H2" s="1376"/>
      <c r="I2" s="1376"/>
      <c r="J2" s="1377"/>
      <c r="K2" s="1378"/>
    </row>
    <row r="3" spans="1:11" s="1384" customFormat="1">
      <c r="A3" s="1380"/>
      <c r="B3" s="1381"/>
      <c r="C3" s="1380"/>
      <c r="D3" s="1380"/>
      <c r="E3" s="1380"/>
      <c r="F3" s="1382"/>
      <c r="G3" s="1383"/>
    </row>
    <row r="4" spans="1:11" s="1389" customFormat="1" ht="31.5">
      <c r="A4" s="1385" t="s">
        <v>488</v>
      </c>
      <c r="B4" s="1386" t="s">
        <v>247</v>
      </c>
      <c r="C4" s="1387" t="s">
        <v>489</v>
      </c>
      <c r="D4" s="1387" t="s">
        <v>249</v>
      </c>
      <c r="E4" s="1388" t="s">
        <v>490</v>
      </c>
      <c r="F4" s="1388" t="s">
        <v>491</v>
      </c>
    </row>
    <row r="5" spans="1:11" s="1395" customFormat="1">
      <c r="A5" s="1390">
        <v>1</v>
      </c>
      <c r="B5" s="1391" t="s">
        <v>1523</v>
      </c>
      <c r="C5" s="1392" t="s">
        <v>263</v>
      </c>
      <c r="D5" s="1393">
        <v>24</v>
      </c>
      <c r="E5" s="1393">
        <v>1400</v>
      </c>
      <c r="F5" s="1394">
        <f>D5*E5/1000</f>
        <v>33.6</v>
      </c>
    </row>
    <row r="6" spans="1:11" s="1395" customFormat="1">
      <c r="A6" s="1390">
        <v>2</v>
      </c>
      <c r="B6" s="1391" t="s">
        <v>1524</v>
      </c>
      <c r="C6" s="1392" t="s">
        <v>263</v>
      </c>
      <c r="D6" s="1393">
        <v>24</v>
      </c>
      <c r="E6" s="1393">
        <v>1200</v>
      </c>
      <c r="F6" s="1394">
        <f t="shared" ref="F6:F69" si="0">D6*E6/1000</f>
        <v>28.8</v>
      </c>
    </row>
    <row r="7" spans="1:11" s="1395" customFormat="1">
      <c r="A7" s="1390">
        <v>3</v>
      </c>
      <c r="B7" s="1396" t="s">
        <v>1525</v>
      </c>
      <c r="C7" s="1392" t="s">
        <v>263</v>
      </c>
      <c r="D7" s="1393">
        <v>100</v>
      </c>
      <c r="E7" s="1392">
        <v>40</v>
      </c>
      <c r="F7" s="1394">
        <f t="shared" si="0"/>
        <v>4</v>
      </c>
    </row>
    <row r="8" spans="1:11" s="1395" customFormat="1">
      <c r="A8" s="1390">
        <v>4</v>
      </c>
      <c r="B8" s="1391" t="s">
        <v>1526</v>
      </c>
      <c r="C8" s="1392" t="s">
        <v>263</v>
      </c>
      <c r="D8" s="1393">
        <v>40</v>
      </c>
      <c r="E8" s="1392">
        <v>500</v>
      </c>
      <c r="F8" s="1394">
        <f t="shared" si="0"/>
        <v>20</v>
      </c>
    </row>
    <row r="9" spans="1:11" s="1395" customFormat="1">
      <c r="A9" s="1390">
        <v>5</v>
      </c>
      <c r="B9" s="1391" t="s">
        <v>1527</v>
      </c>
      <c r="C9" s="1392" t="s">
        <v>263</v>
      </c>
      <c r="D9" s="1393">
        <v>400</v>
      </c>
      <c r="E9" s="1392">
        <v>25</v>
      </c>
      <c r="F9" s="1394">
        <f t="shared" si="0"/>
        <v>10</v>
      </c>
    </row>
    <row r="10" spans="1:11" s="1395" customFormat="1">
      <c r="A10" s="1390">
        <v>6</v>
      </c>
      <c r="B10" s="1391" t="s">
        <v>1528</v>
      </c>
      <c r="C10" s="1392" t="s">
        <v>263</v>
      </c>
      <c r="D10" s="1393">
        <v>400</v>
      </c>
      <c r="E10" s="1392">
        <v>25</v>
      </c>
      <c r="F10" s="1394">
        <f t="shared" si="0"/>
        <v>10</v>
      </c>
    </row>
    <row r="11" spans="1:11" s="1395" customFormat="1" ht="31.5">
      <c r="A11" s="1390">
        <v>7</v>
      </c>
      <c r="B11" s="1391" t="s">
        <v>1529</v>
      </c>
      <c r="C11" s="1392" t="s">
        <v>263</v>
      </c>
      <c r="D11" s="1393">
        <v>8</v>
      </c>
      <c r="E11" s="1392">
        <v>2500</v>
      </c>
      <c r="F11" s="1394">
        <f t="shared" si="0"/>
        <v>20</v>
      </c>
    </row>
    <row r="12" spans="1:11" s="1395" customFormat="1" ht="31.5">
      <c r="A12" s="1390">
        <v>8</v>
      </c>
      <c r="B12" s="1391" t="s">
        <v>1530</v>
      </c>
      <c r="C12" s="1392" t="s">
        <v>263</v>
      </c>
      <c r="D12" s="1393">
        <v>30</v>
      </c>
      <c r="E12" s="1392">
        <v>420</v>
      </c>
      <c r="F12" s="1394">
        <f t="shared" si="0"/>
        <v>12.6</v>
      </c>
    </row>
    <row r="13" spans="1:11" s="1395" customFormat="1" ht="31.5">
      <c r="A13" s="1390">
        <v>9</v>
      </c>
      <c r="B13" s="1391" t="s">
        <v>1531</v>
      </c>
      <c r="C13" s="1392" t="s">
        <v>263</v>
      </c>
      <c r="D13" s="1393">
        <v>70</v>
      </c>
      <c r="E13" s="1392">
        <v>460</v>
      </c>
      <c r="F13" s="1394">
        <f t="shared" si="0"/>
        <v>32.200000000000003</v>
      </c>
    </row>
    <row r="14" spans="1:11" s="1395" customFormat="1" ht="47.25">
      <c r="A14" s="1390">
        <v>10</v>
      </c>
      <c r="B14" s="1391" t="s">
        <v>1532</v>
      </c>
      <c r="C14" s="1392" t="s">
        <v>263</v>
      </c>
      <c r="D14" s="1393">
        <v>15</v>
      </c>
      <c r="E14" s="1392">
        <v>1300</v>
      </c>
      <c r="F14" s="1394">
        <f t="shared" si="0"/>
        <v>19.5</v>
      </c>
    </row>
    <row r="15" spans="1:11" s="1395" customFormat="1" ht="47.25">
      <c r="A15" s="1390">
        <v>11</v>
      </c>
      <c r="B15" s="1391" t="s">
        <v>1533</v>
      </c>
      <c r="C15" s="1392" t="s">
        <v>263</v>
      </c>
      <c r="D15" s="1393">
        <v>12</v>
      </c>
      <c r="E15" s="1392">
        <v>2000</v>
      </c>
      <c r="F15" s="1394">
        <f t="shared" si="0"/>
        <v>24</v>
      </c>
    </row>
    <row r="16" spans="1:11" s="1395" customFormat="1" ht="47.25">
      <c r="A16" s="1390">
        <v>12</v>
      </c>
      <c r="B16" s="1391" t="s">
        <v>1534</v>
      </c>
      <c r="C16" s="1392" t="s">
        <v>263</v>
      </c>
      <c r="D16" s="1393">
        <v>5</v>
      </c>
      <c r="E16" s="1392">
        <v>3700</v>
      </c>
      <c r="F16" s="1394">
        <f t="shared" si="0"/>
        <v>18.5</v>
      </c>
    </row>
    <row r="17" spans="1:6" s="1395" customFormat="1">
      <c r="A17" s="1390">
        <v>13</v>
      </c>
      <c r="B17" s="1391" t="s">
        <v>1535</v>
      </c>
      <c r="C17" s="1392" t="s">
        <v>263</v>
      </c>
      <c r="D17" s="1393">
        <v>1</v>
      </c>
      <c r="E17" s="1392">
        <v>27000</v>
      </c>
      <c r="F17" s="1394">
        <f t="shared" si="0"/>
        <v>27</v>
      </c>
    </row>
    <row r="18" spans="1:6" s="1395" customFormat="1" ht="31.5">
      <c r="A18" s="1390">
        <v>14</v>
      </c>
      <c r="B18" s="1391" t="s">
        <v>1536</v>
      </c>
      <c r="C18" s="1392" t="s">
        <v>263</v>
      </c>
      <c r="D18" s="1393">
        <v>6</v>
      </c>
      <c r="E18" s="1393">
        <v>9800</v>
      </c>
      <c r="F18" s="1394">
        <f t="shared" si="0"/>
        <v>58.8</v>
      </c>
    </row>
    <row r="19" spans="1:6" s="1395" customFormat="1">
      <c r="A19" s="1390">
        <v>15</v>
      </c>
      <c r="B19" s="1391" t="s">
        <v>1537</v>
      </c>
      <c r="C19" s="1392" t="s">
        <v>263</v>
      </c>
      <c r="D19" s="1393">
        <v>20</v>
      </c>
      <c r="E19" s="1392">
        <v>848</v>
      </c>
      <c r="F19" s="1394">
        <f t="shared" si="0"/>
        <v>16.96</v>
      </c>
    </row>
    <row r="20" spans="1:6" s="1395" customFormat="1">
      <c r="A20" s="1390">
        <v>16</v>
      </c>
      <c r="B20" s="1391" t="s">
        <v>1538</v>
      </c>
      <c r="C20" s="1392" t="s">
        <v>624</v>
      </c>
      <c r="D20" s="1393">
        <v>200</v>
      </c>
      <c r="E20" s="1392">
        <v>170</v>
      </c>
      <c r="F20" s="1394">
        <f t="shared" si="0"/>
        <v>34</v>
      </c>
    </row>
    <row r="21" spans="1:6" s="1395" customFormat="1">
      <c r="A21" s="1390">
        <v>17</v>
      </c>
      <c r="B21" s="1391" t="s">
        <v>1539</v>
      </c>
      <c r="C21" s="1392" t="s">
        <v>624</v>
      </c>
      <c r="D21" s="1393">
        <v>150</v>
      </c>
      <c r="E21" s="1392">
        <v>220</v>
      </c>
      <c r="F21" s="1394">
        <f t="shared" si="0"/>
        <v>33</v>
      </c>
    </row>
    <row r="22" spans="1:6" s="1395" customFormat="1">
      <c r="A22" s="1390">
        <v>18</v>
      </c>
      <c r="B22" s="1391" t="s">
        <v>1540</v>
      </c>
      <c r="C22" s="1392" t="s">
        <v>263</v>
      </c>
      <c r="D22" s="1397">
        <v>20</v>
      </c>
      <c r="E22" s="1398">
        <v>4400</v>
      </c>
      <c r="F22" s="1394">
        <f t="shared" si="0"/>
        <v>88</v>
      </c>
    </row>
    <row r="23" spans="1:6" s="1395" customFormat="1" ht="31.5">
      <c r="A23" s="1390">
        <v>19</v>
      </c>
      <c r="B23" s="1391" t="s">
        <v>1541</v>
      </c>
      <c r="C23" s="1392" t="s">
        <v>263</v>
      </c>
      <c r="D23" s="1393">
        <v>5</v>
      </c>
      <c r="E23" s="1392">
        <v>8000</v>
      </c>
      <c r="F23" s="1394">
        <f t="shared" si="0"/>
        <v>40</v>
      </c>
    </row>
    <row r="24" spans="1:6" s="1395" customFormat="1" ht="31.5">
      <c r="A24" s="1390">
        <v>20</v>
      </c>
      <c r="B24" s="1391" t="s">
        <v>1542</v>
      </c>
      <c r="C24" s="1392" t="s">
        <v>263</v>
      </c>
      <c r="D24" s="1393">
        <v>25</v>
      </c>
      <c r="E24" s="1392">
        <v>1200</v>
      </c>
      <c r="F24" s="1394">
        <f t="shared" si="0"/>
        <v>30</v>
      </c>
    </row>
    <row r="25" spans="1:6" s="1395" customFormat="1" ht="31.5">
      <c r="A25" s="1390">
        <v>21</v>
      </c>
      <c r="B25" s="1391" t="s">
        <v>1543</v>
      </c>
      <c r="C25" s="1392" t="s">
        <v>263</v>
      </c>
      <c r="D25" s="1393">
        <v>35</v>
      </c>
      <c r="E25" s="1392">
        <v>1600</v>
      </c>
      <c r="F25" s="1394">
        <f t="shared" si="0"/>
        <v>56</v>
      </c>
    </row>
    <row r="26" spans="1:6" s="1395" customFormat="1" ht="31.5">
      <c r="A26" s="1390">
        <v>22</v>
      </c>
      <c r="B26" s="1391" t="s">
        <v>1544</v>
      </c>
      <c r="C26" s="1392" t="s">
        <v>263</v>
      </c>
      <c r="D26" s="1393">
        <v>24</v>
      </c>
      <c r="E26" s="1392">
        <v>2400</v>
      </c>
      <c r="F26" s="1394">
        <f t="shared" si="0"/>
        <v>57.6</v>
      </c>
    </row>
    <row r="27" spans="1:6" s="1395" customFormat="1">
      <c r="A27" s="1390">
        <v>23</v>
      </c>
      <c r="B27" s="1391" t="s">
        <v>1545</v>
      </c>
      <c r="C27" s="1392" t="s">
        <v>263</v>
      </c>
      <c r="D27" s="1393">
        <v>16</v>
      </c>
      <c r="E27" s="1392">
        <v>400</v>
      </c>
      <c r="F27" s="1394">
        <f t="shared" si="0"/>
        <v>6.4</v>
      </c>
    </row>
    <row r="28" spans="1:6" s="1395" customFormat="1">
      <c r="A28" s="1390">
        <v>24</v>
      </c>
      <c r="B28" s="1391" t="s">
        <v>1546</v>
      </c>
      <c r="C28" s="1392" t="s">
        <v>263</v>
      </c>
      <c r="D28" s="1393">
        <v>18</v>
      </c>
      <c r="E28" s="1392">
        <v>400</v>
      </c>
      <c r="F28" s="1394">
        <f t="shared" si="0"/>
        <v>7.2</v>
      </c>
    </row>
    <row r="29" spans="1:6" s="1395" customFormat="1">
      <c r="A29" s="1390">
        <v>25</v>
      </c>
      <c r="B29" s="1391" t="s">
        <v>1547</v>
      </c>
      <c r="C29" s="1392" t="s">
        <v>624</v>
      </c>
      <c r="D29" s="1393">
        <v>24</v>
      </c>
      <c r="E29" s="1392">
        <v>82000</v>
      </c>
      <c r="F29" s="1394">
        <f t="shared" si="0"/>
        <v>1968</v>
      </c>
    </row>
    <row r="30" spans="1:6" s="1395" customFormat="1">
      <c r="A30" s="1390">
        <v>26</v>
      </c>
      <c r="B30" s="1391" t="s">
        <v>1548</v>
      </c>
      <c r="C30" s="1392" t="s">
        <v>624</v>
      </c>
      <c r="D30" s="1393">
        <v>200</v>
      </c>
      <c r="E30" s="1392">
        <v>520</v>
      </c>
      <c r="F30" s="1394">
        <f t="shared" si="0"/>
        <v>104</v>
      </c>
    </row>
    <row r="31" spans="1:6" s="1395" customFormat="1">
      <c r="A31" s="1390">
        <v>27</v>
      </c>
      <c r="B31" s="1391" t="s">
        <v>1549</v>
      </c>
      <c r="C31" s="1392" t="s">
        <v>624</v>
      </c>
      <c r="D31" s="1393">
        <v>400</v>
      </c>
      <c r="E31" s="1392">
        <v>750</v>
      </c>
      <c r="F31" s="1394">
        <f t="shared" si="0"/>
        <v>300</v>
      </c>
    </row>
    <row r="32" spans="1:6" s="1395" customFormat="1">
      <c r="A32" s="1390">
        <v>28</v>
      </c>
      <c r="B32" s="1391" t="s">
        <v>1550</v>
      </c>
      <c r="C32" s="1392" t="s">
        <v>624</v>
      </c>
      <c r="D32" s="1393">
        <v>300</v>
      </c>
      <c r="E32" s="1392">
        <v>690</v>
      </c>
      <c r="F32" s="1394">
        <f t="shared" si="0"/>
        <v>207</v>
      </c>
    </row>
    <row r="33" spans="1:6" s="1395" customFormat="1">
      <c r="A33" s="1390">
        <v>29</v>
      </c>
      <c r="B33" s="1399" t="s">
        <v>1551</v>
      </c>
      <c r="C33" s="1392" t="s">
        <v>263</v>
      </c>
      <c r="D33" s="1393">
        <v>32</v>
      </c>
      <c r="E33" s="1392">
        <v>500</v>
      </c>
      <c r="F33" s="1394">
        <f t="shared" si="0"/>
        <v>16</v>
      </c>
    </row>
    <row r="34" spans="1:6" s="1395" customFormat="1">
      <c r="A34" s="1390">
        <v>30</v>
      </c>
      <c r="B34" s="1391" t="s">
        <v>1552</v>
      </c>
      <c r="C34" s="1392" t="s">
        <v>263</v>
      </c>
      <c r="D34" s="1393">
        <v>45</v>
      </c>
      <c r="E34" s="1392">
        <v>860</v>
      </c>
      <c r="F34" s="1394">
        <f t="shared" si="0"/>
        <v>38.700000000000003</v>
      </c>
    </row>
    <row r="35" spans="1:6" s="1395" customFormat="1">
      <c r="A35" s="1390">
        <v>31</v>
      </c>
      <c r="B35" s="1399" t="s">
        <v>1553</v>
      </c>
      <c r="C35" s="1392" t="s">
        <v>263</v>
      </c>
      <c r="D35" s="1393">
        <v>30</v>
      </c>
      <c r="E35" s="1392">
        <v>1230</v>
      </c>
      <c r="F35" s="1394">
        <f t="shared" si="0"/>
        <v>36.9</v>
      </c>
    </row>
    <row r="36" spans="1:6" s="1395" customFormat="1">
      <c r="A36" s="1390">
        <v>32</v>
      </c>
      <c r="B36" s="1391" t="s">
        <v>1554</v>
      </c>
      <c r="C36" s="1392" t="s">
        <v>263</v>
      </c>
      <c r="D36" s="1393">
        <v>32</v>
      </c>
      <c r="E36" s="1392">
        <v>3700</v>
      </c>
      <c r="F36" s="1394">
        <f t="shared" si="0"/>
        <v>118.4</v>
      </c>
    </row>
    <row r="37" spans="1:6" s="1395" customFormat="1">
      <c r="A37" s="1390">
        <v>33</v>
      </c>
      <c r="B37" s="1391" t="s">
        <v>1555</v>
      </c>
      <c r="C37" s="1392" t="s">
        <v>263</v>
      </c>
      <c r="D37" s="1393">
        <v>3</v>
      </c>
      <c r="E37" s="1392">
        <v>18500</v>
      </c>
      <c r="F37" s="1394">
        <f t="shared" si="0"/>
        <v>55.5</v>
      </c>
    </row>
    <row r="38" spans="1:6" s="1395" customFormat="1" ht="31.5">
      <c r="A38" s="1390">
        <v>34</v>
      </c>
      <c r="B38" s="1391" t="s">
        <v>1556</v>
      </c>
      <c r="C38" s="1392" t="s">
        <v>263</v>
      </c>
      <c r="D38" s="1393">
        <v>25</v>
      </c>
      <c r="E38" s="1392">
        <v>450</v>
      </c>
      <c r="F38" s="1394">
        <f t="shared" si="0"/>
        <v>11.25</v>
      </c>
    </row>
    <row r="39" spans="1:6" s="1395" customFormat="1">
      <c r="A39" s="1390">
        <v>35</v>
      </c>
      <c r="B39" s="1391" t="s">
        <v>1557</v>
      </c>
      <c r="C39" s="1392" t="s">
        <v>263</v>
      </c>
      <c r="D39" s="1393">
        <v>8</v>
      </c>
      <c r="E39" s="1392">
        <v>3600</v>
      </c>
      <c r="F39" s="1394">
        <f t="shared" si="0"/>
        <v>28.8</v>
      </c>
    </row>
    <row r="40" spans="1:6" s="1395" customFormat="1">
      <c r="A40" s="1390">
        <v>36</v>
      </c>
      <c r="B40" s="1391" t="s">
        <v>1558</v>
      </c>
      <c r="C40" s="1392" t="s">
        <v>263</v>
      </c>
      <c r="D40" s="1393">
        <v>40</v>
      </c>
      <c r="E40" s="1392">
        <v>390</v>
      </c>
      <c r="F40" s="1394">
        <f t="shared" si="0"/>
        <v>15.6</v>
      </c>
    </row>
    <row r="41" spans="1:6" s="1395" customFormat="1" ht="31.5">
      <c r="A41" s="1390">
        <v>37</v>
      </c>
      <c r="B41" s="1391" t="s">
        <v>1559</v>
      </c>
      <c r="C41" s="1392" t="s">
        <v>263</v>
      </c>
      <c r="D41" s="1393">
        <v>35</v>
      </c>
      <c r="E41" s="1392">
        <v>720</v>
      </c>
      <c r="F41" s="1394">
        <f t="shared" si="0"/>
        <v>25.2</v>
      </c>
    </row>
    <row r="42" spans="1:6" s="1395" customFormat="1" ht="31.5">
      <c r="A42" s="1390">
        <v>38</v>
      </c>
      <c r="B42" s="1391" t="s">
        <v>1560</v>
      </c>
      <c r="C42" s="1392" t="s">
        <v>263</v>
      </c>
      <c r="D42" s="1393">
        <v>100</v>
      </c>
      <c r="E42" s="1392">
        <v>30</v>
      </c>
      <c r="F42" s="1394">
        <f t="shared" si="0"/>
        <v>3</v>
      </c>
    </row>
    <row r="43" spans="1:6" s="1395" customFormat="1" ht="31.5">
      <c r="A43" s="1390">
        <v>39</v>
      </c>
      <c r="B43" s="1391" t="s">
        <v>1561</v>
      </c>
      <c r="C43" s="1392" t="s">
        <v>263</v>
      </c>
      <c r="D43" s="1393">
        <v>100</v>
      </c>
      <c r="E43" s="1392">
        <v>35</v>
      </c>
      <c r="F43" s="1394">
        <f t="shared" si="0"/>
        <v>3.5</v>
      </c>
    </row>
    <row r="44" spans="1:6" s="1395" customFormat="1" ht="31.5">
      <c r="A44" s="1390">
        <v>40</v>
      </c>
      <c r="B44" s="1391" t="s">
        <v>1562</v>
      </c>
      <c r="C44" s="1392" t="s">
        <v>263</v>
      </c>
      <c r="D44" s="1393">
        <v>100</v>
      </c>
      <c r="E44" s="1392">
        <v>40</v>
      </c>
      <c r="F44" s="1394">
        <f t="shared" si="0"/>
        <v>4</v>
      </c>
    </row>
    <row r="45" spans="1:6" s="1395" customFormat="1" ht="31.5">
      <c r="A45" s="1390">
        <v>41</v>
      </c>
      <c r="B45" s="1391" t="s">
        <v>1563</v>
      </c>
      <c r="C45" s="1392" t="s">
        <v>263</v>
      </c>
      <c r="D45" s="1393">
        <v>40</v>
      </c>
      <c r="E45" s="1392">
        <v>990</v>
      </c>
      <c r="F45" s="1394">
        <f t="shared" si="0"/>
        <v>39.6</v>
      </c>
    </row>
    <row r="46" spans="1:6" s="1395" customFormat="1" ht="31.5">
      <c r="A46" s="1390">
        <v>42</v>
      </c>
      <c r="B46" s="1391" t="s">
        <v>1564</v>
      </c>
      <c r="C46" s="1392" t="s">
        <v>263</v>
      </c>
      <c r="D46" s="1393">
        <v>8</v>
      </c>
      <c r="E46" s="1392">
        <v>1300</v>
      </c>
      <c r="F46" s="1394">
        <f t="shared" si="0"/>
        <v>10.4</v>
      </c>
    </row>
    <row r="47" spans="1:6" s="1395" customFormat="1" ht="31.5">
      <c r="A47" s="1390">
        <v>43</v>
      </c>
      <c r="B47" s="1391" t="s">
        <v>1565</v>
      </c>
      <c r="C47" s="1392" t="s">
        <v>263</v>
      </c>
      <c r="D47" s="1393">
        <v>130</v>
      </c>
      <c r="E47" s="1392">
        <v>1200</v>
      </c>
      <c r="F47" s="1394">
        <f t="shared" si="0"/>
        <v>156</v>
      </c>
    </row>
    <row r="48" spans="1:6" s="1395" customFormat="1" ht="47.25">
      <c r="A48" s="1390">
        <v>44</v>
      </c>
      <c r="B48" s="1391" t="s">
        <v>1566</v>
      </c>
      <c r="C48" s="1392" t="s">
        <v>263</v>
      </c>
      <c r="D48" s="1393">
        <v>45</v>
      </c>
      <c r="E48" s="1392">
        <v>880</v>
      </c>
      <c r="F48" s="1394">
        <f t="shared" si="0"/>
        <v>39.6</v>
      </c>
    </row>
    <row r="49" spans="1:6" s="1395" customFormat="1" ht="31.5">
      <c r="A49" s="1390">
        <v>45</v>
      </c>
      <c r="B49" s="1391" t="s">
        <v>1567</v>
      </c>
      <c r="C49" s="1392" t="s">
        <v>263</v>
      </c>
      <c r="D49" s="1393">
        <v>70</v>
      </c>
      <c r="E49" s="1392">
        <v>840</v>
      </c>
      <c r="F49" s="1394">
        <f t="shared" si="0"/>
        <v>58.8</v>
      </c>
    </row>
    <row r="50" spans="1:6" s="1395" customFormat="1" ht="31.5">
      <c r="A50" s="1390">
        <v>46</v>
      </c>
      <c r="B50" s="1391" t="s">
        <v>1568</v>
      </c>
      <c r="C50" s="1392" t="s">
        <v>263</v>
      </c>
      <c r="D50" s="1393">
        <v>30</v>
      </c>
      <c r="E50" s="1392">
        <v>865</v>
      </c>
      <c r="F50" s="1394">
        <f t="shared" si="0"/>
        <v>25.95</v>
      </c>
    </row>
    <row r="51" spans="1:6" s="1395" customFormat="1">
      <c r="A51" s="1390">
        <v>47</v>
      </c>
      <c r="B51" s="1391" t="s">
        <v>1569</v>
      </c>
      <c r="C51" s="1392" t="s">
        <v>1570</v>
      </c>
      <c r="D51" s="1397">
        <v>1</v>
      </c>
      <c r="E51" s="1398">
        <v>18650</v>
      </c>
      <c r="F51" s="1394">
        <f t="shared" si="0"/>
        <v>18.649999999999999</v>
      </c>
    </row>
    <row r="52" spans="1:6" s="1395" customFormat="1">
      <c r="A52" s="1390">
        <v>48</v>
      </c>
      <c r="B52" s="1391" t="s">
        <v>1571</v>
      </c>
      <c r="C52" s="1392" t="s">
        <v>1570</v>
      </c>
      <c r="D52" s="1397">
        <v>4</v>
      </c>
      <c r="E52" s="1398">
        <v>4500</v>
      </c>
      <c r="F52" s="1394">
        <f t="shared" si="0"/>
        <v>18</v>
      </c>
    </row>
    <row r="53" spans="1:6" s="1395" customFormat="1">
      <c r="A53" s="1390">
        <v>49</v>
      </c>
      <c r="B53" s="1391" t="s">
        <v>1232</v>
      </c>
      <c r="C53" s="1392" t="s">
        <v>1570</v>
      </c>
      <c r="D53" s="1393">
        <v>6</v>
      </c>
      <c r="E53" s="1392">
        <v>12500</v>
      </c>
      <c r="F53" s="1394">
        <f t="shared" si="0"/>
        <v>75</v>
      </c>
    </row>
    <row r="54" spans="1:6" s="1395" customFormat="1">
      <c r="A54" s="1390">
        <v>50</v>
      </c>
      <c r="B54" s="1391" t="s">
        <v>1572</v>
      </c>
      <c r="C54" s="1392" t="s">
        <v>263</v>
      </c>
      <c r="D54" s="1393">
        <v>2</v>
      </c>
      <c r="E54" s="1392">
        <v>15300</v>
      </c>
      <c r="F54" s="1394">
        <f t="shared" si="0"/>
        <v>30.6</v>
      </c>
    </row>
    <row r="55" spans="1:6" s="1395" customFormat="1" ht="31.5">
      <c r="A55" s="1390">
        <v>51</v>
      </c>
      <c r="B55" s="1391" t="s">
        <v>1573</v>
      </c>
      <c r="C55" s="1392" t="s">
        <v>263</v>
      </c>
      <c r="D55" s="1393">
        <v>30</v>
      </c>
      <c r="E55" s="1392">
        <v>880</v>
      </c>
      <c r="F55" s="1394">
        <f t="shared" si="0"/>
        <v>26.4</v>
      </c>
    </row>
    <row r="56" spans="1:6" s="1395" customFormat="1" ht="31.5">
      <c r="A56" s="1390">
        <v>52</v>
      </c>
      <c r="B56" s="1391" t="s">
        <v>1574</v>
      </c>
      <c r="C56" s="1392" t="s">
        <v>263</v>
      </c>
      <c r="D56" s="1393">
        <v>15</v>
      </c>
      <c r="E56" s="1392">
        <v>3300</v>
      </c>
      <c r="F56" s="1394">
        <f t="shared" si="0"/>
        <v>49.5</v>
      </c>
    </row>
    <row r="57" spans="1:6" s="1395" customFormat="1">
      <c r="A57" s="1390">
        <v>53</v>
      </c>
      <c r="B57" s="1400" t="s">
        <v>1575</v>
      </c>
      <c r="C57" s="1398" t="s">
        <v>263</v>
      </c>
      <c r="D57" s="1393">
        <v>5</v>
      </c>
      <c r="E57" s="1392">
        <v>4500</v>
      </c>
      <c r="F57" s="1394">
        <f t="shared" si="0"/>
        <v>22.5</v>
      </c>
    </row>
    <row r="58" spans="1:6" s="1395" customFormat="1" ht="47.25">
      <c r="A58" s="1390">
        <v>54</v>
      </c>
      <c r="B58" s="1391" t="s">
        <v>1576</v>
      </c>
      <c r="C58" s="1392" t="s">
        <v>263</v>
      </c>
      <c r="D58" s="1393">
        <v>16</v>
      </c>
      <c r="E58" s="1392">
        <v>6200</v>
      </c>
      <c r="F58" s="1394">
        <f t="shared" si="0"/>
        <v>99.2</v>
      </c>
    </row>
    <row r="59" spans="1:6" s="1395" customFormat="1" ht="31.5">
      <c r="A59" s="1390">
        <v>55</v>
      </c>
      <c r="B59" s="1391" t="s">
        <v>1577</v>
      </c>
      <c r="C59" s="1392" t="s">
        <v>263</v>
      </c>
      <c r="D59" s="1393">
        <v>30</v>
      </c>
      <c r="E59" s="1392">
        <v>9800</v>
      </c>
      <c r="F59" s="1394">
        <f t="shared" si="0"/>
        <v>294</v>
      </c>
    </row>
    <row r="60" spans="1:6" s="1395" customFormat="1" ht="31.5">
      <c r="A60" s="1390">
        <v>56</v>
      </c>
      <c r="B60" s="1391" t="s">
        <v>1578</v>
      </c>
      <c r="C60" s="1392" t="s">
        <v>263</v>
      </c>
      <c r="D60" s="1393">
        <v>9</v>
      </c>
      <c r="E60" s="1392">
        <v>15560</v>
      </c>
      <c r="F60" s="1394">
        <f t="shared" si="0"/>
        <v>140.04</v>
      </c>
    </row>
    <row r="61" spans="1:6" s="1395" customFormat="1" ht="31.5">
      <c r="A61" s="1390">
        <v>57</v>
      </c>
      <c r="B61" s="1391" t="s">
        <v>1579</v>
      </c>
      <c r="C61" s="1392" t="s">
        <v>263</v>
      </c>
      <c r="D61" s="1393">
        <v>10</v>
      </c>
      <c r="E61" s="1392">
        <v>12100</v>
      </c>
      <c r="F61" s="1394">
        <f t="shared" si="0"/>
        <v>121</v>
      </c>
    </row>
    <row r="62" spans="1:6" s="1395" customFormat="1">
      <c r="A62" s="1390">
        <v>58</v>
      </c>
      <c r="B62" s="1391" t="s">
        <v>1580</v>
      </c>
      <c r="C62" s="1392" t="s">
        <v>263</v>
      </c>
      <c r="D62" s="1393">
        <v>300</v>
      </c>
      <c r="E62" s="1392">
        <v>20</v>
      </c>
      <c r="F62" s="1394">
        <f t="shared" si="0"/>
        <v>6</v>
      </c>
    </row>
    <row r="63" spans="1:6" s="1395" customFormat="1">
      <c r="A63" s="1390">
        <v>59</v>
      </c>
      <c r="B63" s="1391" t="s">
        <v>1580</v>
      </c>
      <c r="C63" s="1392" t="s">
        <v>263</v>
      </c>
      <c r="D63" s="1393">
        <v>450</v>
      </c>
      <c r="E63" s="1392">
        <v>25</v>
      </c>
      <c r="F63" s="1394">
        <f t="shared" si="0"/>
        <v>11.25</v>
      </c>
    </row>
    <row r="64" spans="1:6" s="1395" customFormat="1">
      <c r="A64" s="1390">
        <v>60</v>
      </c>
      <c r="B64" s="1391" t="s">
        <v>1580</v>
      </c>
      <c r="C64" s="1392" t="s">
        <v>263</v>
      </c>
      <c r="D64" s="1393">
        <v>300</v>
      </c>
      <c r="E64" s="1392">
        <v>29</v>
      </c>
      <c r="F64" s="1394">
        <f t="shared" si="0"/>
        <v>8.6999999999999993</v>
      </c>
    </row>
    <row r="65" spans="1:6" s="1395" customFormat="1">
      <c r="A65" s="1390">
        <v>61</v>
      </c>
      <c r="B65" s="1391" t="s">
        <v>1581</v>
      </c>
      <c r="C65" s="1392" t="s">
        <v>263</v>
      </c>
      <c r="D65" s="1393">
        <v>5</v>
      </c>
      <c r="E65" s="1392">
        <v>17800</v>
      </c>
      <c r="F65" s="1394">
        <f t="shared" si="0"/>
        <v>89</v>
      </c>
    </row>
    <row r="66" spans="1:6" s="1395" customFormat="1" ht="31.5">
      <c r="A66" s="1390">
        <v>62</v>
      </c>
      <c r="B66" s="1391" t="s">
        <v>1582</v>
      </c>
      <c r="C66" s="1392" t="s">
        <v>263</v>
      </c>
      <c r="D66" s="1393">
        <v>10</v>
      </c>
      <c r="E66" s="1392">
        <v>1750</v>
      </c>
      <c r="F66" s="1394">
        <f t="shared" si="0"/>
        <v>17.5</v>
      </c>
    </row>
    <row r="67" spans="1:6" s="1395" customFormat="1">
      <c r="A67" s="1390">
        <v>63</v>
      </c>
      <c r="B67" s="1391" t="s">
        <v>1583</v>
      </c>
      <c r="C67" s="1392" t="s">
        <v>263</v>
      </c>
      <c r="D67" s="1393">
        <v>10</v>
      </c>
      <c r="E67" s="1392">
        <v>2100</v>
      </c>
      <c r="F67" s="1394">
        <f t="shared" si="0"/>
        <v>21</v>
      </c>
    </row>
    <row r="68" spans="1:6" s="1395" customFormat="1">
      <c r="A68" s="1390">
        <v>64</v>
      </c>
      <c r="B68" s="1391" t="s">
        <v>1584</v>
      </c>
      <c r="C68" s="1392" t="s">
        <v>263</v>
      </c>
      <c r="D68" s="1401">
        <v>1</v>
      </c>
      <c r="E68" s="1398">
        <v>19000</v>
      </c>
      <c r="F68" s="1394">
        <f t="shared" si="0"/>
        <v>19</v>
      </c>
    </row>
    <row r="69" spans="1:6" s="1395" customFormat="1">
      <c r="A69" s="1390">
        <v>65</v>
      </c>
      <c r="B69" s="1391" t="s">
        <v>1584</v>
      </c>
      <c r="C69" s="1392" t="s">
        <v>263</v>
      </c>
      <c r="D69" s="1397">
        <v>2</v>
      </c>
      <c r="E69" s="1398">
        <v>35500</v>
      </c>
      <c r="F69" s="1394">
        <f t="shared" si="0"/>
        <v>71</v>
      </c>
    </row>
    <row r="70" spans="1:6" s="1395" customFormat="1" ht="31.5">
      <c r="A70" s="1390">
        <v>66</v>
      </c>
      <c r="B70" s="1391" t="s">
        <v>1585</v>
      </c>
      <c r="C70" s="1392" t="s">
        <v>263</v>
      </c>
      <c r="D70" s="1393">
        <v>15</v>
      </c>
      <c r="E70" s="1392">
        <v>3700</v>
      </c>
      <c r="F70" s="1394">
        <f t="shared" ref="F70:F133" si="1">D70*E70/1000</f>
        <v>55.5</v>
      </c>
    </row>
    <row r="71" spans="1:6" s="1395" customFormat="1" ht="47.25">
      <c r="A71" s="1390">
        <v>67</v>
      </c>
      <c r="B71" s="1391" t="s">
        <v>1586</v>
      </c>
      <c r="C71" s="1392" t="s">
        <v>263</v>
      </c>
      <c r="D71" s="1393">
        <v>10</v>
      </c>
      <c r="E71" s="1392">
        <v>5500</v>
      </c>
      <c r="F71" s="1394">
        <f t="shared" si="1"/>
        <v>55</v>
      </c>
    </row>
    <row r="72" spans="1:6" s="1395" customFormat="1" ht="31.5">
      <c r="A72" s="1390">
        <v>68</v>
      </c>
      <c r="B72" s="1402" t="s">
        <v>1587</v>
      </c>
      <c r="C72" s="1392" t="s">
        <v>263</v>
      </c>
      <c r="D72" s="1393">
        <v>400</v>
      </c>
      <c r="E72" s="1403">
        <v>17</v>
      </c>
      <c r="F72" s="1394">
        <f t="shared" si="1"/>
        <v>6.8</v>
      </c>
    </row>
    <row r="73" spans="1:6" s="1395" customFormat="1" ht="31.5">
      <c r="A73" s="1390">
        <v>69</v>
      </c>
      <c r="B73" s="1402" t="s">
        <v>1588</v>
      </c>
      <c r="C73" s="1392" t="s">
        <v>263</v>
      </c>
      <c r="D73" s="1393">
        <v>400</v>
      </c>
      <c r="E73" s="1392">
        <v>14</v>
      </c>
      <c r="F73" s="1394">
        <f t="shared" si="1"/>
        <v>5.6</v>
      </c>
    </row>
    <row r="74" spans="1:6" s="1395" customFormat="1">
      <c r="A74" s="1390">
        <v>70</v>
      </c>
      <c r="B74" s="1402" t="s">
        <v>1589</v>
      </c>
      <c r="C74" s="1392" t="s">
        <v>263</v>
      </c>
      <c r="D74" s="1393">
        <v>400</v>
      </c>
      <c r="E74" s="1392">
        <v>15</v>
      </c>
      <c r="F74" s="1394">
        <f t="shared" si="1"/>
        <v>6</v>
      </c>
    </row>
    <row r="75" spans="1:6" s="1395" customFormat="1">
      <c r="A75" s="1390">
        <v>71</v>
      </c>
      <c r="B75" s="1402" t="s">
        <v>1590</v>
      </c>
      <c r="C75" s="1392" t="s">
        <v>263</v>
      </c>
      <c r="D75" s="1393">
        <v>400</v>
      </c>
      <c r="E75" s="1392">
        <v>16</v>
      </c>
      <c r="F75" s="1394">
        <f t="shared" si="1"/>
        <v>6.4</v>
      </c>
    </row>
    <row r="76" spans="1:6" s="1395" customFormat="1" ht="31.5">
      <c r="A76" s="1390">
        <v>72</v>
      </c>
      <c r="B76" s="1402" t="s">
        <v>1591</v>
      </c>
      <c r="C76" s="1403" t="s">
        <v>481</v>
      </c>
      <c r="D76" s="1403">
        <v>15</v>
      </c>
      <c r="E76" s="1403">
        <v>3200</v>
      </c>
      <c r="F76" s="1394">
        <f t="shared" si="1"/>
        <v>48</v>
      </c>
    </row>
    <row r="77" spans="1:6" s="1395" customFormat="1">
      <c r="A77" s="1390">
        <v>73</v>
      </c>
      <c r="B77" s="1391" t="s">
        <v>1592</v>
      </c>
      <c r="C77" s="1403" t="s">
        <v>481</v>
      </c>
      <c r="D77" s="1393">
        <v>30</v>
      </c>
      <c r="E77" s="1403">
        <v>1500</v>
      </c>
      <c r="F77" s="1394">
        <f t="shared" si="1"/>
        <v>45</v>
      </c>
    </row>
    <row r="78" spans="1:6" s="1395" customFormat="1">
      <c r="A78" s="1390">
        <v>74</v>
      </c>
      <c r="B78" s="1402" t="s">
        <v>1593</v>
      </c>
      <c r="C78" s="1403" t="s">
        <v>481</v>
      </c>
      <c r="D78" s="1393">
        <v>20</v>
      </c>
      <c r="E78" s="1403">
        <v>2500</v>
      </c>
      <c r="F78" s="1394">
        <f t="shared" si="1"/>
        <v>50</v>
      </c>
    </row>
    <row r="79" spans="1:6" s="1395" customFormat="1">
      <c r="A79" s="1390">
        <v>75</v>
      </c>
      <c r="B79" s="1402" t="s">
        <v>1594</v>
      </c>
      <c r="C79" s="1403" t="s">
        <v>481</v>
      </c>
      <c r="D79" s="1393">
        <v>4</v>
      </c>
      <c r="E79" s="1403">
        <v>4500</v>
      </c>
      <c r="F79" s="1394">
        <f t="shared" si="1"/>
        <v>18</v>
      </c>
    </row>
    <row r="80" spans="1:6" s="1395" customFormat="1">
      <c r="A80" s="1390">
        <v>76</v>
      </c>
      <c r="B80" s="1402" t="s">
        <v>1595</v>
      </c>
      <c r="C80" s="1403" t="s">
        <v>481</v>
      </c>
      <c r="D80" s="1393">
        <v>50</v>
      </c>
      <c r="E80" s="1403">
        <v>3500</v>
      </c>
      <c r="F80" s="1394">
        <f t="shared" si="1"/>
        <v>175</v>
      </c>
    </row>
    <row r="81" spans="1:6" s="1395" customFormat="1">
      <c r="A81" s="1390">
        <v>77</v>
      </c>
      <c r="B81" s="1402" t="s">
        <v>1596</v>
      </c>
      <c r="C81" s="1403" t="s">
        <v>481</v>
      </c>
      <c r="D81" s="1393">
        <v>1</v>
      </c>
      <c r="E81" s="1403">
        <v>12000</v>
      </c>
      <c r="F81" s="1394">
        <f t="shared" si="1"/>
        <v>12</v>
      </c>
    </row>
    <row r="82" spans="1:6" s="1395" customFormat="1">
      <c r="A82" s="1390">
        <v>78</v>
      </c>
      <c r="B82" s="1402" t="s">
        <v>1597</v>
      </c>
      <c r="C82" s="1403" t="s">
        <v>481</v>
      </c>
      <c r="D82" s="1393">
        <v>5</v>
      </c>
      <c r="E82" s="1403">
        <v>200</v>
      </c>
      <c r="F82" s="1394">
        <f t="shared" si="1"/>
        <v>1</v>
      </c>
    </row>
    <row r="83" spans="1:6" s="1395" customFormat="1">
      <c r="A83" s="1390">
        <v>79</v>
      </c>
      <c r="B83" s="1402" t="s">
        <v>1598</v>
      </c>
      <c r="C83" s="1403" t="s">
        <v>481</v>
      </c>
      <c r="D83" s="1393">
        <v>10</v>
      </c>
      <c r="E83" s="1403">
        <v>500</v>
      </c>
      <c r="F83" s="1394">
        <f t="shared" si="1"/>
        <v>5</v>
      </c>
    </row>
    <row r="84" spans="1:6" s="1395" customFormat="1">
      <c r="A84" s="1390">
        <v>80</v>
      </c>
      <c r="B84" s="1402" t="s">
        <v>1599</v>
      </c>
      <c r="C84" s="1403" t="s">
        <v>481</v>
      </c>
      <c r="D84" s="1393">
        <v>5</v>
      </c>
      <c r="E84" s="1403">
        <v>240</v>
      </c>
      <c r="F84" s="1394">
        <f t="shared" si="1"/>
        <v>1.2</v>
      </c>
    </row>
    <row r="85" spans="1:6" s="1395" customFormat="1">
      <c r="A85" s="1390">
        <v>81</v>
      </c>
      <c r="B85" s="1402" t="s">
        <v>1600</v>
      </c>
      <c r="C85" s="1403" t="s">
        <v>481</v>
      </c>
      <c r="D85" s="1393">
        <v>5</v>
      </c>
      <c r="E85" s="1403">
        <v>180</v>
      </c>
      <c r="F85" s="1394">
        <f t="shared" si="1"/>
        <v>0.9</v>
      </c>
    </row>
    <row r="86" spans="1:6" s="1395" customFormat="1" ht="31.5">
      <c r="A86" s="1390">
        <v>82</v>
      </c>
      <c r="B86" s="1402" t="s">
        <v>1601</v>
      </c>
      <c r="C86" s="1403" t="s">
        <v>481</v>
      </c>
      <c r="D86" s="1393">
        <v>4</v>
      </c>
      <c r="E86" s="1403">
        <v>250</v>
      </c>
      <c r="F86" s="1394">
        <f t="shared" si="1"/>
        <v>1</v>
      </c>
    </row>
    <row r="87" spans="1:6" s="1395" customFormat="1" ht="31.5">
      <c r="A87" s="1390">
        <v>83</v>
      </c>
      <c r="B87" s="1402" t="s">
        <v>1602</v>
      </c>
      <c r="C87" s="1403" t="s">
        <v>481</v>
      </c>
      <c r="D87" s="1393">
        <v>5</v>
      </c>
      <c r="E87" s="1403">
        <v>300</v>
      </c>
      <c r="F87" s="1394">
        <f t="shared" si="1"/>
        <v>1.5</v>
      </c>
    </row>
    <row r="88" spans="1:6" s="1395" customFormat="1" ht="31.5">
      <c r="A88" s="1390">
        <v>84</v>
      </c>
      <c r="B88" s="1402" t="s">
        <v>1603</v>
      </c>
      <c r="C88" s="1403" t="s">
        <v>481</v>
      </c>
      <c r="D88" s="1393">
        <v>6</v>
      </c>
      <c r="E88" s="1403">
        <v>350</v>
      </c>
      <c r="F88" s="1394">
        <f t="shared" si="1"/>
        <v>2.1</v>
      </c>
    </row>
    <row r="89" spans="1:6" s="1395" customFormat="1" ht="31.5">
      <c r="A89" s="1390">
        <v>85</v>
      </c>
      <c r="B89" s="1402" t="s">
        <v>1604</v>
      </c>
      <c r="C89" s="1403" t="s">
        <v>481</v>
      </c>
      <c r="D89" s="1393">
        <v>4</v>
      </c>
      <c r="E89" s="1403">
        <v>200</v>
      </c>
      <c r="F89" s="1394">
        <f t="shared" si="1"/>
        <v>0.8</v>
      </c>
    </row>
    <row r="90" spans="1:6" s="1395" customFormat="1" ht="31.5">
      <c r="A90" s="1390">
        <v>86</v>
      </c>
      <c r="B90" s="1402" t="s">
        <v>1605</v>
      </c>
      <c r="C90" s="1403" t="s">
        <v>481</v>
      </c>
      <c r="D90" s="1393">
        <v>4</v>
      </c>
      <c r="E90" s="1403">
        <v>350</v>
      </c>
      <c r="F90" s="1394">
        <f t="shared" si="1"/>
        <v>1.4</v>
      </c>
    </row>
    <row r="91" spans="1:6" s="1395" customFormat="1" ht="31.5">
      <c r="A91" s="1390">
        <v>87</v>
      </c>
      <c r="B91" s="1402" t="s">
        <v>1606</v>
      </c>
      <c r="C91" s="1403" t="s">
        <v>481</v>
      </c>
      <c r="D91" s="1393">
        <v>4</v>
      </c>
      <c r="E91" s="1403">
        <v>300</v>
      </c>
      <c r="F91" s="1394">
        <f t="shared" si="1"/>
        <v>1.2</v>
      </c>
    </row>
    <row r="92" spans="1:6" s="1395" customFormat="1" ht="31.5">
      <c r="A92" s="1390">
        <v>88</v>
      </c>
      <c r="B92" s="1402" t="s">
        <v>1607</v>
      </c>
      <c r="C92" s="1403" t="s">
        <v>1570</v>
      </c>
      <c r="D92" s="1393">
        <v>1</v>
      </c>
      <c r="E92" s="1403">
        <v>27000</v>
      </c>
      <c r="F92" s="1394">
        <f t="shared" si="1"/>
        <v>27</v>
      </c>
    </row>
    <row r="93" spans="1:6" s="1395" customFormat="1">
      <c r="A93" s="1390">
        <v>89</v>
      </c>
      <c r="B93" s="1402" t="s">
        <v>1608</v>
      </c>
      <c r="C93" s="1403" t="s">
        <v>1570</v>
      </c>
      <c r="D93" s="1393">
        <v>1</v>
      </c>
      <c r="E93" s="1403">
        <v>150000</v>
      </c>
      <c r="F93" s="1394">
        <f t="shared" si="1"/>
        <v>150</v>
      </c>
    </row>
    <row r="94" spans="1:6" s="1395" customFormat="1">
      <c r="A94" s="1390">
        <v>90</v>
      </c>
      <c r="B94" s="1402" t="s">
        <v>1609</v>
      </c>
      <c r="C94" s="1403" t="s">
        <v>1570</v>
      </c>
      <c r="D94" s="1393">
        <v>5</v>
      </c>
      <c r="E94" s="1403">
        <v>30000</v>
      </c>
      <c r="F94" s="1394">
        <f t="shared" si="1"/>
        <v>150</v>
      </c>
    </row>
    <row r="95" spans="1:6" s="1395" customFormat="1">
      <c r="A95" s="1390">
        <v>91</v>
      </c>
      <c r="B95" s="1402" t="s">
        <v>1610</v>
      </c>
      <c r="C95" s="1403" t="s">
        <v>1570</v>
      </c>
      <c r="D95" s="1393">
        <v>2</v>
      </c>
      <c r="E95" s="1403">
        <v>14500</v>
      </c>
      <c r="F95" s="1394">
        <f t="shared" si="1"/>
        <v>29</v>
      </c>
    </row>
    <row r="96" spans="1:6" s="1395" customFormat="1">
      <c r="A96" s="1390">
        <v>92</v>
      </c>
      <c r="B96" s="1402" t="s">
        <v>1611</v>
      </c>
      <c r="C96" s="1403" t="s">
        <v>1570</v>
      </c>
      <c r="D96" s="1393">
        <v>6</v>
      </c>
      <c r="E96" s="1403">
        <v>3500</v>
      </c>
      <c r="F96" s="1394">
        <f t="shared" si="1"/>
        <v>21</v>
      </c>
    </row>
    <row r="97" spans="1:6" s="1395" customFormat="1">
      <c r="A97" s="1390">
        <v>93</v>
      </c>
      <c r="B97" s="1402" t="s">
        <v>1612</v>
      </c>
      <c r="C97" s="1403" t="s">
        <v>481</v>
      </c>
      <c r="D97" s="1393">
        <v>20</v>
      </c>
      <c r="E97" s="1403">
        <v>385</v>
      </c>
      <c r="F97" s="1394">
        <f t="shared" si="1"/>
        <v>7.7</v>
      </c>
    </row>
    <row r="98" spans="1:6" s="1395" customFormat="1">
      <c r="A98" s="1390">
        <v>94</v>
      </c>
      <c r="B98" s="1402" t="s">
        <v>1613</v>
      </c>
      <c r="C98" s="1403" t="s">
        <v>481</v>
      </c>
      <c r="D98" s="1393">
        <v>30</v>
      </c>
      <c r="E98" s="1403">
        <v>560</v>
      </c>
      <c r="F98" s="1394">
        <f t="shared" si="1"/>
        <v>16.8</v>
      </c>
    </row>
    <row r="99" spans="1:6" s="1395" customFormat="1">
      <c r="A99" s="1390">
        <v>95</v>
      </c>
      <c r="B99" s="1402" t="s">
        <v>1614</v>
      </c>
      <c r="C99" s="1403" t="s">
        <v>481</v>
      </c>
      <c r="D99" s="1403">
        <v>20</v>
      </c>
      <c r="E99" s="1403">
        <v>4000</v>
      </c>
      <c r="F99" s="1394">
        <f t="shared" si="1"/>
        <v>80</v>
      </c>
    </row>
    <row r="100" spans="1:6" s="1395" customFormat="1">
      <c r="A100" s="1390">
        <v>96</v>
      </c>
      <c r="B100" s="1402" t="s">
        <v>1615</v>
      </c>
      <c r="C100" s="1403" t="s">
        <v>481</v>
      </c>
      <c r="D100" s="1393">
        <v>30</v>
      </c>
      <c r="E100" s="1403">
        <v>1200</v>
      </c>
      <c r="F100" s="1394">
        <f t="shared" si="1"/>
        <v>36</v>
      </c>
    </row>
    <row r="101" spans="1:6" s="1395" customFormat="1">
      <c r="A101" s="1390">
        <v>97</v>
      </c>
      <c r="B101" s="1402" t="s">
        <v>1616</v>
      </c>
      <c r="C101" s="1403" t="s">
        <v>481</v>
      </c>
      <c r="D101" s="1393">
        <v>30</v>
      </c>
      <c r="E101" s="1403">
        <v>1500</v>
      </c>
      <c r="F101" s="1394">
        <f t="shared" si="1"/>
        <v>45</v>
      </c>
    </row>
    <row r="102" spans="1:6" s="1395" customFormat="1" ht="31.5">
      <c r="A102" s="1390">
        <v>98</v>
      </c>
      <c r="B102" s="1402" t="s">
        <v>1617</v>
      </c>
      <c r="C102" s="1403" t="s">
        <v>481</v>
      </c>
      <c r="D102" s="1403">
        <v>1</v>
      </c>
      <c r="E102" s="1403">
        <v>30000</v>
      </c>
      <c r="F102" s="1394">
        <f t="shared" si="1"/>
        <v>30</v>
      </c>
    </row>
    <row r="103" spans="1:6" s="1395" customFormat="1">
      <c r="A103" s="1390">
        <v>99</v>
      </c>
      <c r="B103" s="1402" t="s">
        <v>1618</v>
      </c>
      <c r="C103" s="1403" t="s">
        <v>481</v>
      </c>
      <c r="D103" s="1393">
        <v>20</v>
      </c>
      <c r="E103" s="1403">
        <v>3000</v>
      </c>
      <c r="F103" s="1394">
        <f t="shared" si="1"/>
        <v>60</v>
      </c>
    </row>
    <row r="104" spans="1:6" s="1395" customFormat="1">
      <c r="A104" s="1390">
        <v>100</v>
      </c>
      <c r="B104" s="1402" t="s">
        <v>1619</v>
      </c>
      <c r="C104" s="1403" t="s">
        <v>481</v>
      </c>
      <c r="D104" s="1393">
        <v>20</v>
      </c>
      <c r="E104" s="1403">
        <v>1850</v>
      </c>
      <c r="F104" s="1394">
        <f t="shared" si="1"/>
        <v>37</v>
      </c>
    </row>
    <row r="105" spans="1:6" s="1395" customFormat="1">
      <c r="A105" s="1390">
        <v>101</v>
      </c>
      <c r="B105" s="1402" t="s">
        <v>1620</v>
      </c>
      <c r="C105" s="1403" t="s">
        <v>481</v>
      </c>
      <c r="D105" s="1393">
        <v>10</v>
      </c>
      <c r="E105" s="1403">
        <v>12500</v>
      </c>
      <c r="F105" s="1394">
        <f t="shared" si="1"/>
        <v>125</v>
      </c>
    </row>
    <row r="106" spans="1:6" s="1395" customFormat="1">
      <c r="A106" s="1390">
        <v>102</v>
      </c>
      <c r="B106" s="1402" t="s">
        <v>1621</v>
      </c>
      <c r="C106" s="1403" t="s">
        <v>481</v>
      </c>
      <c r="D106" s="1393">
        <v>20</v>
      </c>
      <c r="E106" s="1403">
        <v>45000</v>
      </c>
      <c r="F106" s="1394">
        <f t="shared" si="1"/>
        <v>900</v>
      </c>
    </row>
    <row r="107" spans="1:6" s="1395" customFormat="1">
      <c r="A107" s="1390">
        <v>103</v>
      </c>
      <c r="B107" s="1402" t="s">
        <v>1622</v>
      </c>
      <c r="C107" s="1403" t="s">
        <v>1623</v>
      </c>
      <c r="D107" s="1393">
        <v>10</v>
      </c>
      <c r="E107" s="1403">
        <v>26000</v>
      </c>
      <c r="F107" s="1394">
        <f t="shared" si="1"/>
        <v>260</v>
      </c>
    </row>
    <row r="108" spans="1:6" s="1395" customFormat="1">
      <c r="A108" s="1390">
        <v>104</v>
      </c>
      <c r="B108" s="1402" t="s">
        <v>1624</v>
      </c>
      <c r="C108" s="1403" t="s">
        <v>481</v>
      </c>
      <c r="D108" s="1393">
        <v>10</v>
      </c>
      <c r="E108" s="1403">
        <v>13500</v>
      </c>
      <c r="F108" s="1394">
        <f t="shared" si="1"/>
        <v>135</v>
      </c>
    </row>
    <row r="109" spans="1:6" s="1395" customFormat="1">
      <c r="A109" s="1390">
        <v>105</v>
      </c>
      <c r="B109" s="1402" t="s">
        <v>1625</v>
      </c>
      <c r="C109" s="1403" t="s">
        <v>481</v>
      </c>
      <c r="D109" s="1393">
        <v>1</v>
      </c>
      <c r="E109" s="1403">
        <v>25000</v>
      </c>
      <c r="F109" s="1394">
        <f t="shared" si="1"/>
        <v>25</v>
      </c>
    </row>
    <row r="110" spans="1:6" s="1395" customFormat="1">
      <c r="A110" s="1390">
        <v>106</v>
      </c>
      <c r="B110" s="1402" t="s">
        <v>1626</v>
      </c>
      <c r="C110" s="1403" t="s">
        <v>481</v>
      </c>
      <c r="D110" s="1403">
        <v>1</v>
      </c>
      <c r="E110" s="1403">
        <v>12000</v>
      </c>
      <c r="F110" s="1394">
        <f t="shared" si="1"/>
        <v>12</v>
      </c>
    </row>
    <row r="111" spans="1:6" s="1395" customFormat="1">
      <c r="A111" s="1390">
        <v>107</v>
      </c>
      <c r="B111" s="1402" t="s">
        <v>1627</v>
      </c>
      <c r="C111" s="1403" t="s">
        <v>481</v>
      </c>
      <c r="D111" s="1393">
        <v>20</v>
      </c>
      <c r="E111" s="1403">
        <v>2395</v>
      </c>
      <c r="F111" s="1394">
        <f t="shared" si="1"/>
        <v>47.9</v>
      </c>
    </row>
    <row r="112" spans="1:6" s="1395" customFormat="1">
      <c r="A112" s="1390">
        <v>108</v>
      </c>
      <c r="B112" s="1402" t="s">
        <v>1628</v>
      </c>
      <c r="C112" s="1403" t="s">
        <v>1629</v>
      </c>
      <c r="D112" s="1393">
        <v>50</v>
      </c>
      <c r="E112" s="1403">
        <v>1250</v>
      </c>
      <c r="F112" s="1394">
        <f t="shared" si="1"/>
        <v>62.5</v>
      </c>
    </row>
    <row r="113" spans="1:6" s="1395" customFormat="1">
      <c r="A113" s="1390">
        <v>109</v>
      </c>
      <c r="B113" s="1402" t="s">
        <v>1630</v>
      </c>
      <c r="C113" s="1403" t="s">
        <v>481</v>
      </c>
      <c r="D113" s="1393">
        <v>2</v>
      </c>
      <c r="E113" s="1403">
        <v>40000</v>
      </c>
      <c r="F113" s="1394">
        <f t="shared" si="1"/>
        <v>80</v>
      </c>
    </row>
    <row r="114" spans="1:6" s="1395" customFormat="1">
      <c r="A114" s="1390">
        <v>110</v>
      </c>
      <c r="B114" s="1402" t="s">
        <v>1631</v>
      </c>
      <c r="C114" s="1403" t="s">
        <v>481</v>
      </c>
      <c r="D114" s="1393">
        <v>10</v>
      </c>
      <c r="E114" s="1403">
        <v>5300</v>
      </c>
      <c r="F114" s="1394">
        <f t="shared" si="1"/>
        <v>53</v>
      </c>
    </row>
    <row r="115" spans="1:6" s="1395" customFormat="1">
      <c r="A115" s="1390">
        <v>111</v>
      </c>
      <c r="B115" s="1404" t="s">
        <v>1632</v>
      </c>
      <c r="C115" s="1403" t="s">
        <v>481</v>
      </c>
      <c r="D115" s="1393">
        <v>20</v>
      </c>
      <c r="E115" s="1403">
        <v>1550</v>
      </c>
      <c r="F115" s="1394">
        <f t="shared" si="1"/>
        <v>31</v>
      </c>
    </row>
    <row r="116" spans="1:6" s="1395" customFormat="1">
      <c r="A116" s="1390">
        <v>112</v>
      </c>
      <c r="B116" s="1405" t="s">
        <v>1633</v>
      </c>
      <c r="C116" s="1403" t="s">
        <v>481</v>
      </c>
      <c r="D116" s="1406">
        <v>400</v>
      </c>
      <c r="E116" s="1407">
        <v>50</v>
      </c>
      <c r="F116" s="1394">
        <f t="shared" si="1"/>
        <v>20</v>
      </c>
    </row>
    <row r="117" spans="1:6" s="1395" customFormat="1">
      <c r="A117" s="1390">
        <v>113</v>
      </c>
      <c r="B117" s="1408" t="s">
        <v>1634</v>
      </c>
      <c r="C117" s="1403" t="s">
        <v>481</v>
      </c>
      <c r="D117" s="1407">
        <v>60</v>
      </c>
      <c r="E117" s="1407">
        <v>422.32</v>
      </c>
      <c r="F117" s="1394">
        <f t="shared" si="1"/>
        <v>25.339200000000002</v>
      </c>
    </row>
    <row r="118" spans="1:6" s="1395" customFormat="1">
      <c r="A118" s="1390">
        <v>114</v>
      </c>
      <c r="B118" s="1409" t="s">
        <v>1635</v>
      </c>
      <c r="C118" s="1403" t="s">
        <v>481</v>
      </c>
      <c r="D118" s="1407">
        <v>50</v>
      </c>
      <c r="E118" s="1407">
        <v>2193</v>
      </c>
      <c r="F118" s="1394">
        <f t="shared" si="1"/>
        <v>109.65</v>
      </c>
    </row>
    <row r="119" spans="1:6" s="1395" customFormat="1">
      <c r="A119" s="1390">
        <v>115</v>
      </c>
      <c r="B119" s="1408" t="s">
        <v>1636</v>
      </c>
      <c r="C119" s="1403" t="s">
        <v>481</v>
      </c>
      <c r="D119" s="1407">
        <v>95</v>
      </c>
      <c r="E119" s="1410">
        <v>2271</v>
      </c>
      <c r="F119" s="1394">
        <f t="shared" si="1"/>
        <v>215.745</v>
      </c>
    </row>
    <row r="120" spans="1:6" s="1395" customFormat="1">
      <c r="A120" s="1390">
        <v>116</v>
      </c>
      <c r="B120" s="1408" t="s">
        <v>1637</v>
      </c>
      <c r="C120" s="1403" t="s">
        <v>481</v>
      </c>
      <c r="D120" s="1407">
        <v>50</v>
      </c>
      <c r="E120" s="1410">
        <v>17965</v>
      </c>
      <c r="F120" s="1394">
        <f t="shared" si="1"/>
        <v>898.25</v>
      </c>
    </row>
    <row r="121" spans="1:6" s="1395" customFormat="1">
      <c r="A121" s="1390">
        <v>117</v>
      </c>
      <c r="B121" s="1408" t="s">
        <v>1638</v>
      </c>
      <c r="C121" s="1403" t="s">
        <v>481</v>
      </c>
      <c r="D121" s="1407">
        <v>50</v>
      </c>
      <c r="E121" s="1407">
        <v>543</v>
      </c>
      <c r="F121" s="1394">
        <f t="shared" si="1"/>
        <v>27.15</v>
      </c>
    </row>
    <row r="122" spans="1:6" s="1395" customFormat="1">
      <c r="A122" s="1390">
        <v>118</v>
      </c>
      <c r="B122" s="1408" t="s">
        <v>1639</v>
      </c>
      <c r="C122" s="1403" t="s">
        <v>1570</v>
      </c>
      <c r="D122" s="1407">
        <v>40</v>
      </c>
      <c r="E122" s="1407">
        <v>880.29</v>
      </c>
      <c r="F122" s="1394">
        <f t="shared" si="1"/>
        <v>35.211599999999997</v>
      </c>
    </row>
    <row r="123" spans="1:6" s="1395" customFormat="1">
      <c r="A123" s="1390">
        <v>119</v>
      </c>
      <c r="B123" s="1408" t="s">
        <v>1640</v>
      </c>
      <c r="C123" s="1403" t="s">
        <v>1570</v>
      </c>
      <c r="D123" s="1407">
        <v>2</v>
      </c>
      <c r="E123" s="1411">
        <v>11068.75</v>
      </c>
      <c r="F123" s="1394">
        <f t="shared" si="1"/>
        <v>22.137499999999999</v>
      </c>
    </row>
    <row r="124" spans="1:6" s="1395" customFormat="1">
      <c r="A124" s="1390">
        <v>120</v>
      </c>
      <c r="B124" s="1408" t="s">
        <v>1640</v>
      </c>
      <c r="C124" s="1403" t="s">
        <v>1570</v>
      </c>
      <c r="D124" s="1407">
        <v>2</v>
      </c>
      <c r="E124" s="1410">
        <v>3258</v>
      </c>
      <c r="F124" s="1394">
        <f t="shared" si="1"/>
        <v>6.516</v>
      </c>
    </row>
    <row r="125" spans="1:6" s="1395" customFormat="1">
      <c r="A125" s="1390">
        <v>121</v>
      </c>
      <c r="B125" s="1412" t="s">
        <v>1641</v>
      </c>
      <c r="C125" s="1403" t="s">
        <v>1570</v>
      </c>
      <c r="D125" s="1413">
        <v>2</v>
      </c>
      <c r="E125" s="1414">
        <v>6362</v>
      </c>
      <c r="F125" s="1394">
        <f t="shared" si="1"/>
        <v>12.724</v>
      </c>
    </row>
    <row r="126" spans="1:6" s="1395" customFormat="1">
      <c r="A126" s="1390">
        <v>122</v>
      </c>
      <c r="B126" s="1408" t="s">
        <v>1642</v>
      </c>
      <c r="C126" s="1403" t="s">
        <v>1570</v>
      </c>
      <c r="D126" s="1407">
        <v>2</v>
      </c>
      <c r="E126" s="1410">
        <v>7991</v>
      </c>
      <c r="F126" s="1394">
        <f t="shared" si="1"/>
        <v>15.981999999999999</v>
      </c>
    </row>
    <row r="127" spans="1:6" s="1395" customFormat="1">
      <c r="A127" s="1390">
        <v>123</v>
      </c>
      <c r="B127" s="1408" t="s">
        <v>1643</v>
      </c>
      <c r="C127" s="1403" t="s">
        <v>1570</v>
      </c>
      <c r="D127" s="1407">
        <v>2</v>
      </c>
      <c r="E127" s="1411">
        <v>12999.1</v>
      </c>
      <c r="F127" s="1394">
        <f t="shared" si="1"/>
        <v>25.998200000000001</v>
      </c>
    </row>
    <row r="128" spans="1:6" s="1395" customFormat="1">
      <c r="A128" s="1390">
        <v>124</v>
      </c>
      <c r="B128" s="1409" t="s">
        <v>1644</v>
      </c>
      <c r="C128" s="1403" t="s">
        <v>481</v>
      </c>
      <c r="D128" s="1407">
        <v>15</v>
      </c>
      <c r="E128" s="1407">
        <v>2597.3200000000002</v>
      </c>
      <c r="F128" s="1394">
        <f t="shared" si="1"/>
        <v>38.959800000000001</v>
      </c>
    </row>
    <row r="129" spans="1:10" s="1395" customFormat="1">
      <c r="A129" s="1390">
        <v>125</v>
      </c>
      <c r="B129" s="1408" t="s">
        <v>1645</v>
      </c>
      <c r="C129" s="1403" t="s">
        <v>481</v>
      </c>
      <c r="D129" s="1407">
        <v>500</v>
      </c>
      <c r="E129" s="1407">
        <v>95</v>
      </c>
      <c r="F129" s="1394">
        <f t="shared" si="1"/>
        <v>47.5</v>
      </c>
    </row>
    <row r="130" spans="1:10" s="1395" customFormat="1">
      <c r="A130" s="1390">
        <v>126</v>
      </c>
      <c r="B130" s="1408" t="s">
        <v>1646</v>
      </c>
      <c r="C130" s="1403" t="s">
        <v>1647</v>
      </c>
      <c r="D130" s="1407">
        <v>10</v>
      </c>
      <c r="E130" s="1407">
        <v>524</v>
      </c>
      <c r="F130" s="1394">
        <f t="shared" si="1"/>
        <v>5.24</v>
      </c>
    </row>
    <row r="131" spans="1:10" s="1395" customFormat="1">
      <c r="A131" s="1390">
        <v>127</v>
      </c>
      <c r="B131" s="1408" t="s">
        <v>1648</v>
      </c>
      <c r="C131" s="1403" t="s">
        <v>481</v>
      </c>
      <c r="D131" s="1410">
        <v>2000</v>
      </c>
      <c r="E131" s="1407">
        <v>7.5</v>
      </c>
      <c r="F131" s="1394">
        <f t="shared" si="1"/>
        <v>15</v>
      </c>
    </row>
    <row r="132" spans="1:10" s="1395" customFormat="1">
      <c r="A132" s="1390">
        <v>128</v>
      </c>
      <c r="B132" s="1408" t="s">
        <v>1649</v>
      </c>
      <c r="C132" s="1403" t="s">
        <v>481</v>
      </c>
      <c r="D132" s="1410">
        <v>2000</v>
      </c>
      <c r="E132" s="1407">
        <v>7.9</v>
      </c>
      <c r="F132" s="1394">
        <f t="shared" si="1"/>
        <v>15.8</v>
      </c>
    </row>
    <row r="133" spans="1:10" s="1395" customFormat="1">
      <c r="A133" s="1390">
        <v>129</v>
      </c>
      <c r="B133" s="1408" t="s">
        <v>1650</v>
      </c>
      <c r="C133" s="1403" t="s">
        <v>481</v>
      </c>
      <c r="D133" s="1407">
        <v>30</v>
      </c>
      <c r="E133" s="1407">
        <v>771</v>
      </c>
      <c r="F133" s="1394">
        <f t="shared" si="1"/>
        <v>23.13</v>
      </c>
    </row>
    <row r="134" spans="1:10" s="1395" customFormat="1">
      <c r="A134" s="1390">
        <v>130</v>
      </c>
      <c r="B134" s="1408" t="s">
        <v>1651</v>
      </c>
      <c r="C134" s="1403" t="s">
        <v>481</v>
      </c>
      <c r="D134" s="1407">
        <v>50</v>
      </c>
      <c r="E134" s="1410">
        <v>2550</v>
      </c>
      <c r="F134" s="1394">
        <f t="shared" ref="F134:F136" si="2">D134*E134/1000</f>
        <v>127.5</v>
      </c>
    </row>
    <row r="135" spans="1:10" s="1415" customFormat="1">
      <c r="A135" s="1390">
        <v>131</v>
      </c>
      <c r="B135" s="1408" t="s">
        <v>1652</v>
      </c>
      <c r="C135" s="1403" t="s">
        <v>481</v>
      </c>
      <c r="D135" s="1407">
        <v>50</v>
      </c>
      <c r="E135" s="1410">
        <v>3064</v>
      </c>
      <c r="F135" s="1394">
        <f t="shared" si="2"/>
        <v>153.19999999999999</v>
      </c>
    </row>
    <row r="136" spans="1:10" s="1415" customFormat="1">
      <c r="A136" s="1390">
        <v>132</v>
      </c>
      <c r="B136" s="1412" t="s">
        <v>1653</v>
      </c>
      <c r="C136" s="1403" t="s">
        <v>481</v>
      </c>
      <c r="D136" s="1413">
        <v>80</v>
      </c>
      <c r="E136" s="1414">
        <v>1987</v>
      </c>
      <c r="F136" s="1394">
        <f t="shared" si="2"/>
        <v>158.96</v>
      </c>
    </row>
    <row r="137" spans="1:10">
      <c r="A137" s="1626" t="s">
        <v>233</v>
      </c>
      <c r="B137" s="1626"/>
      <c r="C137" s="1626"/>
      <c r="D137" s="1626"/>
      <c r="E137" s="1626"/>
      <c r="F137" s="1416">
        <f>SUM(F5:F136)</f>
        <v>10012.993299999998</v>
      </c>
      <c r="G137" s="1417">
        <v>10013</v>
      </c>
    </row>
    <row r="138" spans="1:10">
      <c r="E138" s="1420"/>
      <c r="F138" s="1420"/>
    </row>
    <row r="139" spans="1:10">
      <c r="E139" s="1420"/>
      <c r="F139" s="1420"/>
      <c r="G139" s="1421"/>
    </row>
    <row r="140" spans="1:10" s="1298" customFormat="1" ht="15.75">
      <c r="A140" s="674" t="s">
        <v>1520</v>
      </c>
      <c r="B140" s="674"/>
      <c r="D140" s="674"/>
      <c r="E140" s="674" t="s">
        <v>1521</v>
      </c>
      <c r="F140" s="1337"/>
    </row>
    <row r="141" spans="1:10" s="1426" customFormat="1">
      <c r="A141" s="1337"/>
      <c r="B141" s="1337"/>
      <c r="C141" s="1422"/>
      <c r="D141" s="1423"/>
      <c r="E141" s="1337"/>
      <c r="F141" s="1337"/>
      <c r="G141" s="1337"/>
      <c r="H141" s="1337"/>
      <c r="I141" s="1424"/>
      <c r="J141" s="1425"/>
    </row>
    <row r="142" spans="1:10" s="1426" customFormat="1">
      <c r="A142" s="1337"/>
      <c r="B142" s="1337"/>
      <c r="C142" s="1422"/>
      <c r="D142" s="1423"/>
      <c r="E142" s="1337"/>
      <c r="F142" s="1337"/>
      <c r="G142" s="1337"/>
      <c r="H142" s="1337"/>
      <c r="I142" s="1424"/>
      <c r="J142" s="1425"/>
    </row>
    <row r="143" spans="1:10" s="1426" customFormat="1">
      <c r="A143" s="1337" t="s">
        <v>1166</v>
      </c>
      <c r="B143" s="1337"/>
      <c r="C143" s="1422"/>
      <c r="D143" s="1423"/>
      <c r="E143" s="1627" t="s">
        <v>1168</v>
      </c>
      <c r="F143" s="1627"/>
      <c r="G143" s="1627"/>
      <c r="H143" s="1627"/>
      <c r="I143" s="1424"/>
      <c r="J143" s="1425"/>
    </row>
    <row r="144" spans="1:10">
      <c r="E144" s="1375"/>
      <c r="F144" s="1375"/>
    </row>
  </sheetData>
  <mergeCells count="5">
    <mergeCell ref="A1:F1"/>
    <mergeCell ref="A137:E137"/>
    <mergeCell ref="G143:H143"/>
    <mergeCell ref="E143:F143"/>
    <mergeCell ref="A2:F2"/>
  </mergeCells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218"/>
  <sheetViews>
    <sheetView view="pageBreakPreview" zoomScaleNormal="100" zoomScaleSheetLayoutView="100" workbookViewId="0">
      <selection activeCell="A6" sqref="A6:A14"/>
    </sheetView>
  </sheetViews>
  <sheetFormatPr defaultColWidth="9.140625" defaultRowHeight="18.75"/>
  <cols>
    <col min="1" max="1" width="5.5703125" style="1081" customWidth="1"/>
    <col min="2" max="2" width="46.140625" style="1082" customWidth="1"/>
    <col min="3" max="3" width="15.5703125" style="1081" customWidth="1"/>
    <col min="4" max="4" width="12" style="1081" customWidth="1"/>
    <col min="5" max="5" width="17.140625" style="1076" customWidth="1"/>
    <col min="6" max="6" width="19.28515625" style="1076" customWidth="1"/>
    <col min="7" max="7" width="17" style="1073" customWidth="1"/>
    <col min="8" max="8" width="18" style="1073" customWidth="1"/>
    <col min="9" max="16384" width="9.140625" style="1073"/>
  </cols>
  <sheetData>
    <row r="2" spans="1:11" s="482" customFormat="1">
      <c r="A2" s="729"/>
      <c r="B2" s="1571" t="s">
        <v>1449</v>
      </c>
      <c r="C2" s="1571"/>
      <c r="D2" s="1571"/>
      <c r="E2" s="1571"/>
      <c r="F2" s="1571"/>
      <c r="G2" s="1083"/>
    </row>
    <row r="3" spans="1:11" s="681" customFormat="1" ht="18" customHeight="1">
      <c r="A3" s="1601" t="s">
        <v>672</v>
      </c>
      <c r="B3" s="1601"/>
      <c r="C3" s="1601"/>
      <c r="D3" s="1601"/>
      <c r="E3" s="1601"/>
      <c r="F3" s="1601"/>
      <c r="G3" s="684"/>
      <c r="H3" s="684"/>
      <c r="I3" s="684"/>
      <c r="J3" s="683"/>
      <c r="K3" s="688"/>
    </row>
    <row r="4" spans="1:11">
      <c r="A4" s="1095"/>
      <c r="B4" s="1093"/>
      <c r="C4" s="1093"/>
      <c r="D4" s="1093"/>
      <c r="E4" s="1093"/>
      <c r="F4" s="1094" t="s">
        <v>224</v>
      </c>
    </row>
    <row r="5" spans="1:11" s="1084" customFormat="1" ht="31.5">
      <c r="A5" s="1229" t="s">
        <v>488</v>
      </c>
      <c r="B5" s="1225" t="s">
        <v>247</v>
      </c>
      <c r="C5" s="1192" t="s">
        <v>489</v>
      </c>
      <c r="D5" s="1192" t="s">
        <v>249</v>
      </c>
      <c r="E5" s="1230" t="s">
        <v>490</v>
      </c>
      <c r="F5" s="1230" t="s">
        <v>491</v>
      </c>
    </row>
    <row r="6" spans="1:11" s="1074" customFormat="1" ht="31.5">
      <c r="A6" s="837">
        <v>1</v>
      </c>
      <c r="B6" s="1437" t="s">
        <v>1654</v>
      </c>
      <c r="C6" s="1438" t="s">
        <v>479</v>
      </c>
      <c r="D6" s="1438">
        <v>200</v>
      </c>
      <c r="E6" s="1439">
        <v>100000</v>
      </c>
      <c r="F6" s="1440">
        <f>D6*E6/1000</f>
        <v>20000</v>
      </c>
      <c r="G6" s="1073"/>
    </row>
    <row r="7" spans="1:11" s="1074" customFormat="1">
      <c r="A7" s="837">
        <v>2</v>
      </c>
      <c r="B7" s="1437" t="s">
        <v>1655</v>
      </c>
      <c r="C7" s="1438" t="s">
        <v>254</v>
      </c>
      <c r="D7" s="1438">
        <v>329</v>
      </c>
      <c r="E7" s="1439">
        <v>38500</v>
      </c>
      <c r="F7" s="1440">
        <f>D7*E7/1000</f>
        <v>12666.5</v>
      </c>
      <c r="G7" s="1073"/>
    </row>
    <row r="8" spans="1:11" s="1074" customFormat="1">
      <c r="A8" s="837">
        <v>3</v>
      </c>
      <c r="B8" s="1437" t="s">
        <v>1444</v>
      </c>
      <c r="C8" s="1438" t="s">
        <v>254</v>
      </c>
      <c r="D8" s="1438">
        <v>329</v>
      </c>
      <c r="E8" s="1439">
        <v>39655</v>
      </c>
      <c r="F8" s="1440">
        <f>D8*E8/1000</f>
        <v>13046.495000000001</v>
      </c>
      <c r="G8" s="1073"/>
    </row>
    <row r="9" spans="1:11" s="1074" customFormat="1">
      <c r="A9" s="837">
        <v>4</v>
      </c>
      <c r="B9" s="1437" t="s">
        <v>1445</v>
      </c>
      <c r="C9" s="1438" t="s">
        <v>254</v>
      </c>
      <c r="D9" s="1438">
        <v>329</v>
      </c>
      <c r="E9" s="1439">
        <v>8976</v>
      </c>
      <c r="F9" s="1440">
        <f>D9*E9/1000</f>
        <v>2953.1039999999998</v>
      </c>
      <c r="G9" s="1073"/>
    </row>
    <row r="10" spans="1:11" s="1074" customFormat="1">
      <c r="A10" s="837">
        <v>5</v>
      </c>
      <c r="B10" s="1437" t="s">
        <v>1446</v>
      </c>
      <c r="C10" s="1438" t="s">
        <v>254</v>
      </c>
      <c r="D10" s="1438">
        <v>329</v>
      </c>
      <c r="E10" s="1439">
        <v>11440</v>
      </c>
      <c r="F10" s="1440">
        <f t="shared" ref="F10:F11" si="0">D10*E10/1000</f>
        <v>3763.76</v>
      </c>
      <c r="G10" s="1073"/>
    </row>
    <row r="11" spans="1:11" s="1074" customFormat="1">
      <c r="A11" s="837">
        <v>6</v>
      </c>
      <c r="B11" s="1437" t="s">
        <v>1233</v>
      </c>
      <c r="C11" s="1438" t="s">
        <v>254</v>
      </c>
      <c r="D11" s="1438">
        <v>329</v>
      </c>
      <c r="E11" s="1439">
        <v>22686</v>
      </c>
      <c r="F11" s="1440">
        <f t="shared" si="0"/>
        <v>7463.6940000000004</v>
      </c>
      <c r="G11" s="1073"/>
    </row>
    <row r="12" spans="1:11" s="1074" customFormat="1">
      <c r="A12" s="837">
        <v>7</v>
      </c>
      <c r="B12" s="1437" t="s">
        <v>1656</v>
      </c>
      <c r="C12" s="1438" t="s">
        <v>254</v>
      </c>
      <c r="D12" s="1438">
        <v>329</v>
      </c>
      <c r="E12" s="1439">
        <v>36960</v>
      </c>
      <c r="F12" s="1440">
        <f>D12*E12/1000</f>
        <v>12159.84</v>
      </c>
      <c r="G12" s="1073"/>
    </row>
    <row r="13" spans="1:11" s="1074" customFormat="1">
      <c r="A13" s="837">
        <v>8</v>
      </c>
      <c r="B13" s="1437" t="s">
        <v>1067</v>
      </c>
      <c r="C13" s="1438" t="s">
        <v>254</v>
      </c>
      <c r="D13" s="1438">
        <v>329</v>
      </c>
      <c r="E13" s="1439">
        <v>12320</v>
      </c>
      <c r="F13" s="1440">
        <f>D13*E13/1000</f>
        <v>4053.28</v>
      </c>
      <c r="G13" s="1073"/>
    </row>
    <row r="14" spans="1:11" s="1074" customFormat="1">
      <c r="A14" s="837">
        <v>9</v>
      </c>
      <c r="B14" s="1437" t="s">
        <v>1657</v>
      </c>
      <c r="C14" s="1438" t="s">
        <v>254</v>
      </c>
      <c r="D14" s="1438">
        <v>329</v>
      </c>
      <c r="E14" s="1439">
        <v>8976</v>
      </c>
      <c r="F14" s="1440">
        <f t="shared" ref="F14" si="1">D14*E14/1000</f>
        <v>2953.1039999999998</v>
      </c>
      <c r="G14" s="1089"/>
    </row>
    <row r="15" spans="1:11" s="1074" customFormat="1">
      <c r="A15" s="733"/>
      <c r="B15" s="734" t="s">
        <v>255</v>
      </c>
      <c r="C15" s="1218"/>
      <c r="D15" s="735"/>
      <c r="E15" s="850" t="s">
        <v>27</v>
      </c>
      <c r="F15" s="851">
        <f>SUM(F6:F14)</f>
        <v>79059.777000000016</v>
      </c>
      <c r="G15" s="1089"/>
    </row>
    <row r="16" spans="1:11" s="1074" customFormat="1">
      <c r="A16" s="1219"/>
      <c r="B16" s="1220"/>
      <c r="C16" s="1221"/>
      <c r="D16" s="1222"/>
      <c r="E16" s="1223"/>
      <c r="F16" s="852"/>
      <c r="G16" s="1089"/>
    </row>
    <row r="17" spans="1:7" s="1074" customFormat="1" ht="74.25" customHeight="1">
      <c r="A17" s="1628" t="s">
        <v>1447</v>
      </c>
      <c r="B17" s="1628"/>
      <c r="C17" s="1628"/>
      <c r="D17" s="1628"/>
      <c r="E17" s="1628"/>
      <c r="F17" s="1628"/>
    </row>
    <row r="18" spans="1:7" s="1074" customFormat="1">
      <c r="A18" s="1081"/>
      <c r="B18" s="1082"/>
      <c r="C18" s="1081"/>
      <c r="D18" s="1081"/>
      <c r="E18" s="1076"/>
      <c r="F18" s="1076"/>
      <c r="G18" s="1187"/>
    </row>
    <row r="19" spans="1:7" s="1074" customFormat="1">
      <c r="A19" s="674" t="s">
        <v>640</v>
      </c>
      <c r="B19" s="674"/>
      <c r="C19" s="742"/>
      <c r="D19" s="653"/>
      <c r="E19" s="674" t="s">
        <v>1167</v>
      </c>
      <c r="F19" s="674"/>
      <c r="G19" s="674"/>
    </row>
    <row r="20" spans="1:7" s="1074" customFormat="1">
      <c r="A20" s="674"/>
      <c r="B20" s="674"/>
      <c r="C20" s="742"/>
      <c r="D20" s="653"/>
      <c r="E20" s="674"/>
      <c r="F20" s="674"/>
      <c r="G20" s="674"/>
    </row>
    <row r="21" spans="1:7" s="1074" customFormat="1">
      <c r="A21" s="674"/>
      <c r="B21" s="674"/>
      <c r="C21" s="742"/>
      <c r="D21" s="653"/>
      <c r="E21" s="674"/>
      <c r="F21" s="674"/>
      <c r="G21" s="674"/>
    </row>
    <row r="22" spans="1:7" s="1074" customFormat="1">
      <c r="A22" s="674" t="s">
        <v>1166</v>
      </c>
      <c r="B22" s="674"/>
      <c r="C22" s="742"/>
      <c r="D22" s="653"/>
      <c r="E22" s="1599" t="s">
        <v>1168</v>
      </c>
      <c r="F22" s="1599"/>
      <c r="G22" s="1217"/>
    </row>
    <row r="23" spans="1:7" s="1074" customFormat="1">
      <c r="A23" s="1081"/>
      <c r="B23" s="1082"/>
      <c r="C23" s="1081"/>
      <c r="D23" s="1081"/>
      <c r="E23" s="1073"/>
      <c r="F23" s="1073"/>
      <c r="G23" s="1073"/>
    </row>
    <row r="24" spans="1:7" s="1074" customFormat="1">
      <c r="A24" s="1081"/>
      <c r="B24" s="1082"/>
      <c r="C24" s="1081"/>
      <c r="D24" s="1081"/>
      <c r="E24" s="1076"/>
      <c r="F24" s="1076"/>
      <c r="G24" s="1073"/>
    </row>
    <row r="25" spans="1:7" s="1074" customFormat="1">
      <c r="A25" s="1081"/>
      <c r="B25" s="1082"/>
      <c r="C25" s="1081"/>
      <c r="D25" s="1081"/>
      <c r="E25" s="1076"/>
      <c r="F25" s="1076"/>
      <c r="G25" s="1073"/>
    </row>
    <row r="26" spans="1:7" s="1074" customFormat="1">
      <c r="A26" s="1081"/>
      <c r="B26" s="1082"/>
      <c r="C26" s="1081"/>
      <c r="D26" s="1081"/>
      <c r="E26" s="1076"/>
      <c r="F26" s="1076"/>
      <c r="G26" s="1073"/>
    </row>
    <row r="27" spans="1:7" s="1074" customFormat="1">
      <c r="A27" s="1081"/>
      <c r="B27" s="1082"/>
      <c r="C27" s="1081"/>
      <c r="D27" s="1081"/>
      <c r="E27" s="1076"/>
      <c r="F27" s="1076"/>
      <c r="G27" s="1073"/>
    </row>
    <row r="28" spans="1:7" s="1074" customFormat="1">
      <c r="A28" s="1081"/>
      <c r="B28" s="1082"/>
      <c r="C28" s="1081"/>
      <c r="D28" s="1081"/>
      <c r="E28" s="1076"/>
      <c r="F28" s="1076"/>
      <c r="G28" s="1073"/>
    </row>
    <row r="29" spans="1:7" s="1074" customFormat="1">
      <c r="A29" s="1081"/>
      <c r="B29" s="1082"/>
      <c r="C29" s="1081"/>
      <c r="D29" s="1081"/>
      <c r="E29" s="1076"/>
      <c r="F29" s="1076"/>
      <c r="G29" s="1073"/>
    </row>
    <row r="30" spans="1:7" s="1074" customFormat="1">
      <c r="A30" s="1081"/>
      <c r="B30" s="1082"/>
      <c r="C30" s="1081"/>
      <c r="D30" s="1081"/>
      <c r="E30" s="1076"/>
      <c r="F30" s="1076"/>
      <c r="G30" s="1073"/>
    </row>
    <row r="31" spans="1:7" s="1074" customFormat="1">
      <c r="A31" s="1081"/>
      <c r="B31" s="1082"/>
      <c r="C31" s="1081"/>
      <c r="D31" s="1081"/>
      <c r="E31" s="1076"/>
      <c r="F31" s="1076"/>
      <c r="G31" s="1073"/>
    </row>
    <row r="32" spans="1:7" s="1074" customFormat="1">
      <c r="A32" s="1081"/>
      <c r="B32" s="1082"/>
      <c r="C32" s="1081"/>
      <c r="D32" s="1081"/>
      <c r="E32" s="1076"/>
      <c r="F32" s="1076"/>
      <c r="G32" s="1073"/>
    </row>
    <row r="33" spans="1:7" s="1074" customFormat="1">
      <c r="A33" s="1081"/>
      <c r="B33" s="1082"/>
      <c r="C33" s="1081"/>
      <c r="D33" s="1081"/>
      <c r="E33" s="1076"/>
      <c r="F33" s="1076"/>
      <c r="G33" s="1073"/>
    </row>
    <row r="34" spans="1:7" s="1074" customFormat="1">
      <c r="A34" s="1081"/>
      <c r="B34" s="1082"/>
      <c r="C34" s="1081"/>
      <c r="D34" s="1081"/>
      <c r="E34" s="1076"/>
      <c r="F34" s="1076"/>
      <c r="G34" s="1073"/>
    </row>
    <row r="35" spans="1:7" s="1074" customFormat="1">
      <c r="A35" s="1081"/>
      <c r="B35" s="1082"/>
      <c r="C35" s="1081"/>
      <c r="D35" s="1081"/>
      <c r="E35" s="1076"/>
      <c r="F35" s="1076"/>
      <c r="G35" s="1073"/>
    </row>
    <row r="36" spans="1:7" s="1074" customFormat="1">
      <c r="A36" s="1081"/>
      <c r="B36" s="1082"/>
      <c r="C36" s="1081"/>
      <c r="D36" s="1081"/>
      <c r="E36" s="1076"/>
      <c r="F36" s="1076"/>
      <c r="G36" s="1073"/>
    </row>
    <row r="37" spans="1:7" s="1074" customFormat="1">
      <c r="A37" s="1081"/>
      <c r="B37" s="1082"/>
      <c r="C37" s="1081"/>
      <c r="D37" s="1081"/>
      <c r="E37" s="1076"/>
      <c r="F37" s="1076"/>
      <c r="G37" s="1073"/>
    </row>
    <row r="38" spans="1:7" s="1074" customFormat="1">
      <c r="A38" s="1081"/>
      <c r="B38" s="1082"/>
      <c r="C38" s="1081"/>
      <c r="D38" s="1081"/>
      <c r="E38" s="1076"/>
      <c r="F38" s="1076"/>
      <c r="G38" s="1073"/>
    </row>
    <row r="39" spans="1:7" s="1074" customFormat="1">
      <c r="A39" s="1081"/>
      <c r="B39" s="1082"/>
      <c r="C39" s="1081"/>
      <c r="D39" s="1081"/>
      <c r="E39" s="1076"/>
      <c r="F39" s="1076"/>
      <c r="G39" s="1073"/>
    </row>
    <row r="40" spans="1:7" s="1074" customFormat="1">
      <c r="A40" s="1081"/>
      <c r="B40" s="1082"/>
      <c r="C40" s="1081"/>
      <c r="D40" s="1081"/>
      <c r="E40" s="1076"/>
      <c r="F40" s="1076"/>
      <c r="G40" s="1073"/>
    </row>
    <row r="41" spans="1:7" s="1074" customFormat="1">
      <c r="A41" s="1081"/>
      <c r="B41" s="1082"/>
      <c r="C41" s="1081"/>
      <c r="D41" s="1081"/>
      <c r="E41" s="1076"/>
      <c r="F41" s="1076"/>
      <c r="G41" s="1073"/>
    </row>
    <row r="42" spans="1:7" s="1074" customFormat="1">
      <c r="A42" s="1081"/>
      <c r="B42" s="1082"/>
      <c r="C42" s="1081"/>
      <c r="D42" s="1081"/>
      <c r="E42" s="1076"/>
      <c r="F42" s="1076"/>
      <c r="G42" s="1073"/>
    </row>
    <row r="43" spans="1:7" s="1074" customFormat="1">
      <c r="A43" s="1081"/>
      <c r="B43" s="1082"/>
      <c r="C43" s="1081"/>
      <c r="D43" s="1081"/>
      <c r="E43" s="1076"/>
      <c r="F43" s="1076"/>
      <c r="G43" s="1073"/>
    </row>
    <row r="44" spans="1:7" s="1074" customFormat="1">
      <c r="A44" s="1081"/>
      <c r="B44" s="1082"/>
      <c r="C44" s="1081"/>
      <c r="D44" s="1081"/>
      <c r="E44" s="1076"/>
      <c r="F44" s="1076"/>
      <c r="G44" s="1073"/>
    </row>
    <row r="45" spans="1:7" s="1074" customFormat="1">
      <c r="A45" s="1081"/>
      <c r="B45" s="1082"/>
      <c r="C45" s="1081"/>
      <c r="D45" s="1081"/>
      <c r="E45" s="1076"/>
      <c r="F45" s="1076"/>
      <c r="G45" s="1073"/>
    </row>
    <row r="46" spans="1:7" s="1074" customFormat="1">
      <c r="A46" s="1081"/>
      <c r="B46" s="1082"/>
      <c r="C46" s="1081"/>
      <c r="D46" s="1081"/>
      <c r="E46" s="1076"/>
      <c r="F46" s="1076"/>
      <c r="G46" s="1073"/>
    </row>
    <row r="47" spans="1:7" s="1074" customFormat="1">
      <c r="A47" s="1081"/>
      <c r="B47" s="1082"/>
      <c r="C47" s="1081"/>
      <c r="D47" s="1081"/>
      <c r="E47" s="1076"/>
      <c r="F47" s="1076"/>
      <c r="G47" s="1073"/>
    </row>
    <row r="48" spans="1:7" s="1074" customFormat="1">
      <c r="A48" s="1081"/>
      <c r="B48" s="1082"/>
      <c r="C48" s="1081"/>
      <c r="D48" s="1081"/>
      <c r="E48" s="1076"/>
      <c r="F48" s="1076"/>
      <c r="G48" s="1073"/>
    </row>
    <row r="49" spans="1:7" s="1074" customFormat="1">
      <c r="A49" s="1081"/>
      <c r="B49" s="1082"/>
      <c r="C49" s="1081"/>
      <c r="D49" s="1081"/>
      <c r="E49" s="1076"/>
      <c r="F49" s="1076"/>
      <c r="G49" s="1073"/>
    </row>
    <row r="50" spans="1:7" s="1074" customFormat="1">
      <c r="A50" s="1081"/>
      <c r="B50" s="1082"/>
      <c r="C50" s="1081"/>
      <c r="D50" s="1081"/>
      <c r="E50" s="1076"/>
      <c r="F50" s="1076"/>
      <c r="G50" s="1073"/>
    </row>
    <row r="51" spans="1:7" s="1074" customFormat="1">
      <c r="A51" s="1081"/>
      <c r="B51" s="1082"/>
      <c r="C51" s="1081"/>
      <c r="D51" s="1081"/>
      <c r="E51" s="1076"/>
      <c r="F51" s="1076"/>
      <c r="G51" s="1073"/>
    </row>
    <row r="52" spans="1:7" s="1074" customFormat="1">
      <c r="A52" s="1081"/>
      <c r="B52" s="1082"/>
      <c r="C52" s="1081"/>
      <c r="D52" s="1081"/>
      <c r="E52" s="1076"/>
      <c r="F52" s="1076"/>
      <c r="G52" s="1073"/>
    </row>
    <row r="53" spans="1:7" s="1074" customFormat="1">
      <c r="A53" s="1081"/>
      <c r="B53" s="1082"/>
      <c r="C53" s="1081"/>
      <c r="D53" s="1081"/>
      <c r="E53" s="1076"/>
      <c r="F53" s="1076"/>
      <c r="G53" s="1073"/>
    </row>
    <row r="54" spans="1:7" s="1074" customFormat="1">
      <c r="A54" s="1081"/>
      <c r="B54" s="1082"/>
      <c r="C54" s="1081"/>
      <c r="D54" s="1081"/>
      <c r="E54" s="1076"/>
      <c r="F54" s="1076"/>
      <c r="G54" s="1073"/>
    </row>
    <row r="55" spans="1:7" s="1074" customFormat="1">
      <c r="A55" s="1081"/>
      <c r="B55" s="1082"/>
      <c r="C55" s="1081"/>
      <c r="D55" s="1081"/>
      <c r="E55" s="1076"/>
      <c r="F55" s="1076"/>
      <c r="G55" s="1073"/>
    </row>
    <row r="56" spans="1:7" s="1074" customFormat="1">
      <c r="A56" s="1081"/>
      <c r="B56" s="1082"/>
      <c r="C56" s="1081"/>
      <c r="D56" s="1081"/>
      <c r="E56" s="1076"/>
      <c r="F56" s="1076"/>
      <c r="G56" s="1073"/>
    </row>
    <row r="57" spans="1:7" s="1074" customFormat="1">
      <c r="A57" s="1081"/>
      <c r="B57" s="1082"/>
      <c r="C57" s="1081"/>
      <c r="D57" s="1081"/>
      <c r="E57" s="1076"/>
      <c r="F57" s="1076"/>
      <c r="G57" s="1073"/>
    </row>
    <row r="58" spans="1:7" s="1074" customFormat="1">
      <c r="A58" s="1081"/>
      <c r="B58" s="1082"/>
      <c r="C58" s="1081"/>
      <c r="D58" s="1081"/>
      <c r="E58" s="1076"/>
      <c r="F58" s="1076"/>
      <c r="G58" s="1073"/>
    </row>
    <row r="59" spans="1:7" s="1074" customFormat="1">
      <c r="A59" s="1081"/>
      <c r="B59" s="1082"/>
      <c r="C59" s="1081"/>
      <c r="D59" s="1081"/>
      <c r="E59" s="1076"/>
      <c r="F59" s="1076"/>
      <c r="G59" s="1073"/>
    </row>
    <row r="60" spans="1:7" s="1074" customFormat="1">
      <c r="A60" s="1081"/>
      <c r="B60" s="1082"/>
      <c r="C60" s="1081"/>
      <c r="D60" s="1081"/>
      <c r="E60" s="1076"/>
      <c r="F60" s="1076"/>
      <c r="G60" s="1073"/>
    </row>
    <row r="61" spans="1:7" s="1074" customFormat="1">
      <c r="A61" s="1081"/>
      <c r="B61" s="1082"/>
      <c r="C61" s="1081"/>
      <c r="D61" s="1081"/>
      <c r="E61" s="1076"/>
      <c r="F61" s="1076"/>
      <c r="G61" s="1073"/>
    </row>
    <row r="62" spans="1:7" s="1074" customFormat="1">
      <c r="A62" s="1081"/>
      <c r="B62" s="1082"/>
      <c r="C62" s="1081"/>
      <c r="D62" s="1081"/>
      <c r="E62" s="1076"/>
      <c r="F62" s="1076"/>
      <c r="G62" s="1073"/>
    </row>
    <row r="63" spans="1:7" s="1074" customFormat="1">
      <c r="A63" s="1081"/>
      <c r="B63" s="1082"/>
      <c r="C63" s="1081"/>
      <c r="D63" s="1081"/>
      <c r="E63" s="1076"/>
      <c r="F63" s="1076"/>
      <c r="G63" s="1073"/>
    </row>
    <row r="64" spans="1:7" s="1074" customFormat="1">
      <c r="A64" s="1081"/>
      <c r="B64" s="1082"/>
      <c r="C64" s="1081"/>
      <c r="D64" s="1081"/>
      <c r="E64" s="1076"/>
      <c r="F64" s="1076"/>
      <c r="G64" s="1073"/>
    </row>
    <row r="65" spans="1:7" s="1074" customFormat="1">
      <c r="A65" s="1081"/>
      <c r="B65" s="1082"/>
      <c r="C65" s="1081"/>
      <c r="D65" s="1081"/>
      <c r="E65" s="1076"/>
      <c r="F65" s="1076"/>
      <c r="G65" s="1073"/>
    </row>
    <row r="66" spans="1:7" s="1074" customFormat="1">
      <c r="A66" s="1081"/>
      <c r="B66" s="1082"/>
      <c r="C66" s="1081"/>
      <c r="D66" s="1081"/>
      <c r="E66" s="1076"/>
      <c r="F66" s="1076"/>
      <c r="G66" s="1073"/>
    </row>
    <row r="67" spans="1:7" s="1074" customFormat="1">
      <c r="A67" s="1081"/>
      <c r="B67" s="1082"/>
      <c r="C67" s="1081"/>
      <c r="D67" s="1081"/>
      <c r="E67" s="1076"/>
      <c r="F67" s="1076"/>
      <c r="G67" s="1073"/>
    </row>
    <row r="68" spans="1:7" s="1074" customFormat="1">
      <c r="A68" s="1081"/>
      <c r="B68" s="1082"/>
      <c r="C68" s="1081"/>
      <c r="D68" s="1081"/>
      <c r="E68" s="1076"/>
      <c r="F68" s="1076"/>
      <c r="G68" s="1073"/>
    </row>
    <row r="69" spans="1:7" s="1074" customFormat="1">
      <c r="A69" s="1081"/>
      <c r="B69" s="1082"/>
      <c r="C69" s="1081"/>
      <c r="D69" s="1081"/>
      <c r="E69" s="1076"/>
      <c r="F69" s="1076"/>
      <c r="G69" s="1073"/>
    </row>
    <row r="70" spans="1:7" s="1074" customFormat="1">
      <c r="A70" s="1081"/>
      <c r="B70" s="1082"/>
      <c r="C70" s="1081"/>
      <c r="D70" s="1081"/>
      <c r="E70" s="1076"/>
      <c r="F70" s="1076"/>
      <c r="G70" s="1073"/>
    </row>
    <row r="71" spans="1:7" s="1074" customFormat="1">
      <c r="A71" s="1081"/>
      <c r="B71" s="1082"/>
      <c r="C71" s="1081"/>
      <c r="D71" s="1081"/>
      <c r="E71" s="1076"/>
      <c r="F71" s="1076"/>
      <c r="G71" s="1073"/>
    </row>
    <row r="72" spans="1:7" s="1074" customFormat="1">
      <c r="A72" s="1081"/>
      <c r="B72" s="1082"/>
      <c r="C72" s="1081"/>
      <c r="D72" s="1081"/>
      <c r="E72" s="1076"/>
      <c r="F72" s="1076"/>
      <c r="G72" s="1073"/>
    </row>
    <row r="73" spans="1:7" s="1074" customFormat="1">
      <c r="A73" s="1081"/>
      <c r="B73" s="1082"/>
      <c r="C73" s="1081"/>
      <c r="D73" s="1081"/>
      <c r="E73" s="1076"/>
      <c r="F73" s="1076"/>
      <c r="G73" s="1073"/>
    </row>
    <row r="74" spans="1:7" s="1074" customFormat="1">
      <c r="A74" s="1081"/>
      <c r="B74" s="1082"/>
      <c r="C74" s="1081"/>
      <c r="D74" s="1081"/>
      <c r="E74" s="1076"/>
      <c r="F74" s="1076"/>
      <c r="G74" s="1073"/>
    </row>
    <row r="75" spans="1:7" s="1074" customFormat="1">
      <c r="A75" s="1081"/>
      <c r="B75" s="1082"/>
      <c r="C75" s="1081"/>
      <c r="D75" s="1081"/>
      <c r="E75" s="1076"/>
      <c r="F75" s="1076"/>
      <c r="G75" s="1073"/>
    </row>
    <row r="76" spans="1:7" s="1074" customFormat="1">
      <c r="A76" s="1081"/>
      <c r="B76" s="1082"/>
      <c r="C76" s="1081"/>
      <c r="D76" s="1081"/>
      <c r="E76" s="1076"/>
      <c r="F76" s="1076"/>
      <c r="G76" s="1073"/>
    </row>
    <row r="77" spans="1:7" s="1074" customFormat="1">
      <c r="A77" s="1081"/>
      <c r="B77" s="1082"/>
      <c r="C77" s="1081"/>
      <c r="D77" s="1081"/>
      <c r="E77" s="1076"/>
      <c r="F77" s="1076"/>
      <c r="G77" s="1073"/>
    </row>
    <row r="78" spans="1:7" s="1074" customFormat="1">
      <c r="A78" s="1081"/>
      <c r="B78" s="1082"/>
      <c r="C78" s="1081"/>
      <c r="D78" s="1081"/>
      <c r="E78" s="1076"/>
      <c r="F78" s="1076"/>
      <c r="G78" s="1073"/>
    </row>
    <row r="79" spans="1:7" s="1074" customFormat="1">
      <c r="A79" s="1081"/>
      <c r="B79" s="1082"/>
      <c r="C79" s="1081"/>
      <c r="D79" s="1081"/>
      <c r="E79" s="1076"/>
      <c r="F79" s="1076"/>
      <c r="G79" s="1073"/>
    </row>
    <row r="80" spans="1:7" s="1074" customFormat="1">
      <c r="A80" s="1081"/>
      <c r="B80" s="1082"/>
      <c r="C80" s="1081"/>
      <c r="D80" s="1081"/>
      <c r="E80" s="1076"/>
      <c r="F80" s="1076"/>
      <c r="G80" s="1073"/>
    </row>
    <row r="81" spans="1:7" s="1074" customFormat="1">
      <c r="A81" s="1081"/>
      <c r="B81" s="1082"/>
      <c r="C81" s="1081"/>
      <c r="D81" s="1081"/>
      <c r="E81" s="1076"/>
      <c r="F81" s="1076"/>
      <c r="G81" s="1073"/>
    </row>
    <row r="82" spans="1:7" s="1074" customFormat="1">
      <c r="A82" s="1081"/>
      <c r="B82" s="1082"/>
      <c r="C82" s="1081"/>
      <c r="D82" s="1081"/>
      <c r="E82" s="1076"/>
      <c r="F82" s="1076"/>
      <c r="G82" s="1073"/>
    </row>
    <row r="83" spans="1:7" s="1074" customFormat="1">
      <c r="A83" s="1081"/>
      <c r="B83" s="1082"/>
      <c r="C83" s="1081"/>
      <c r="D83" s="1081"/>
      <c r="E83" s="1076"/>
      <c r="F83" s="1076"/>
      <c r="G83" s="1073"/>
    </row>
    <row r="84" spans="1:7" s="1074" customFormat="1">
      <c r="A84" s="1081"/>
      <c r="B84" s="1082"/>
      <c r="C84" s="1081"/>
      <c r="D84" s="1081"/>
      <c r="E84" s="1076"/>
      <c r="F84" s="1076"/>
      <c r="G84" s="1073"/>
    </row>
    <row r="85" spans="1:7" s="1074" customFormat="1">
      <c r="A85" s="1081"/>
      <c r="B85" s="1082"/>
      <c r="C85" s="1081"/>
      <c r="D85" s="1081"/>
      <c r="E85" s="1076"/>
      <c r="F85" s="1076"/>
      <c r="G85" s="1073"/>
    </row>
    <row r="86" spans="1:7" s="1074" customFormat="1">
      <c r="A86" s="1081"/>
      <c r="B86" s="1082"/>
      <c r="C86" s="1081"/>
      <c r="D86" s="1081"/>
      <c r="E86" s="1076"/>
      <c r="F86" s="1076"/>
      <c r="G86" s="1073"/>
    </row>
    <row r="87" spans="1:7" s="1074" customFormat="1">
      <c r="A87" s="1081"/>
      <c r="B87" s="1082"/>
      <c r="C87" s="1081"/>
      <c r="D87" s="1081"/>
      <c r="E87" s="1076"/>
      <c r="F87" s="1076"/>
      <c r="G87" s="1073"/>
    </row>
    <row r="88" spans="1:7" s="1074" customFormat="1">
      <c r="A88" s="1081"/>
      <c r="B88" s="1082"/>
      <c r="C88" s="1081"/>
      <c r="D88" s="1081"/>
      <c r="E88" s="1076"/>
      <c r="F88" s="1076"/>
      <c r="G88" s="1073"/>
    </row>
    <row r="89" spans="1:7" s="1074" customFormat="1">
      <c r="A89" s="1081"/>
      <c r="B89" s="1082"/>
      <c r="C89" s="1081"/>
      <c r="D89" s="1081"/>
      <c r="E89" s="1076"/>
      <c r="F89" s="1076"/>
      <c r="G89" s="1073"/>
    </row>
    <row r="90" spans="1:7" s="1074" customFormat="1">
      <c r="A90" s="1081"/>
      <c r="B90" s="1082"/>
      <c r="C90" s="1081"/>
      <c r="D90" s="1081"/>
      <c r="E90" s="1076"/>
      <c r="F90" s="1076"/>
      <c r="G90" s="1073"/>
    </row>
    <row r="91" spans="1:7" s="1074" customFormat="1">
      <c r="A91" s="1081"/>
      <c r="B91" s="1082"/>
      <c r="C91" s="1081"/>
      <c r="D91" s="1081"/>
      <c r="E91" s="1076"/>
      <c r="F91" s="1076"/>
      <c r="G91" s="1073"/>
    </row>
    <row r="92" spans="1:7" s="1074" customFormat="1">
      <c r="A92" s="1081"/>
      <c r="B92" s="1082"/>
      <c r="C92" s="1081"/>
      <c r="D92" s="1081"/>
      <c r="E92" s="1076"/>
      <c r="F92" s="1076"/>
      <c r="G92" s="1073"/>
    </row>
    <row r="93" spans="1:7" s="1074" customFormat="1">
      <c r="A93" s="1081"/>
      <c r="B93" s="1082"/>
      <c r="C93" s="1081"/>
      <c r="D93" s="1081"/>
      <c r="E93" s="1076"/>
      <c r="F93" s="1076"/>
      <c r="G93" s="1073"/>
    </row>
    <row r="94" spans="1:7" s="1074" customFormat="1">
      <c r="A94" s="1081"/>
      <c r="B94" s="1082"/>
      <c r="C94" s="1081"/>
      <c r="D94" s="1081"/>
      <c r="E94" s="1076"/>
      <c r="F94" s="1076"/>
      <c r="G94" s="1073"/>
    </row>
    <row r="95" spans="1:7" s="1074" customFormat="1">
      <c r="A95" s="1081"/>
      <c r="B95" s="1082"/>
      <c r="C95" s="1081"/>
      <c r="D95" s="1081"/>
      <c r="E95" s="1076"/>
      <c r="F95" s="1076"/>
      <c r="G95" s="1073"/>
    </row>
    <row r="96" spans="1:7" s="1074" customFormat="1">
      <c r="A96" s="1081"/>
      <c r="B96" s="1082"/>
      <c r="C96" s="1081"/>
      <c r="D96" s="1081"/>
      <c r="E96" s="1076"/>
      <c r="F96" s="1076"/>
      <c r="G96" s="1073"/>
    </row>
    <row r="97" spans="1:7" s="1074" customFormat="1">
      <c r="A97" s="1081"/>
      <c r="B97" s="1082"/>
      <c r="C97" s="1081"/>
      <c r="D97" s="1081"/>
      <c r="E97" s="1076"/>
      <c r="F97" s="1076"/>
      <c r="G97" s="1073"/>
    </row>
    <row r="98" spans="1:7" s="1074" customFormat="1">
      <c r="A98" s="1081"/>
      <c r="B98" s="1082"/>
      <c r="C98" s="1081"/>
      <c r="D98" s="1081"/>
      <c r="E98" s="1076"/>
      <c r="F98" s="1076"/>
      <c r="G98" s="1073"/>
    </row>
    <row r="99" spans="1:7" s="1074" customFormat="1">
      <c r="A99" s="1081"/>
      <c r="B99" s="1082"/>
      <c r="C99" s="1081"/>
      <c r="D99" s="1081"/>
      <c r="E99" s="1076"/>
      <c r="F99" s="1076"/>
      <c r="G99" s="1073"/>
    </row>
    <row r="100" spans="1:7" s="1074" customFormat="1">
      <c r="A100" s="1081"/>
      <c r="B100" s="1082"/>
      <c r="C100" s="1081"/>
      <c r="D100" s="1081"/>
      <c r="E100" s="1076"/>
      <c r="F100" s="1076"/>
      <c r="G100" s="1073"/>
    </row>
    <row r="101" spans="1:7" s="1074" customFormat="1">
      <c r="A101" s="1081"/>
      <c r="B101" s="1082"/>
      <c r="C101" s="1081"/>
      <c r="D101" s="1081"/>
      <c r="E101" s="1076"/>
      <c r="F101" s="1076"/>
      <c r="G101" s="1073"/>
    </row>
    <row r="102" spans="1:7" s="1074" customFormat="1">
      <c r="A102" s="1081"/>
      <c r="B102" s="1082"/>
      <c r="C102" s="1081"/>
      <c r="D102" s="1081"/>
      <c r="E102" s="1076"/>
      <c r="F102" s="1076"/>
      <c r="G102" s="1073"/>
    </row>
    <row r="103" spans="1:7" s="1074" customFormat="1">
      <c r="A103" s="1081"/>
      <c r="B103" s="1082"/>
      <c r="C103" s="1081"/>
      <c r="D103" s="1081"/>
      <c r="E103" s="1076"/>
      <c r="F103" s="1076"/>
      <c r="G103" s="1073"/>
    </row>
    <row r="104" spans="1:7" s="1074" customFormat="1">
      <c r="A104" s="1081"/>
      <c r="B104" s="1082"/>
      <c r="C104" s="1081"/>
      <c r="D104" s="1081"/>
      <c r="E104" s="1076"/>
      <c r="F104" s="1076"/>
      <c r="G104" s="1073"/>
    </row>
    <row r="105" spans="1:7" s="1074" customFormat="1">
      <c r="A105" s="1081"/>
      <c r="B105" s="1082"/>
      <c r="C105" s="1081"/>
      <c r="D105" s="1081"/>
      <c r="E105" s="1076"/>
      <c r="F105" s="1076"/>
      <c r="G105" s="1073"/>
    </row>
    <row r="106" spans="1:7" s="1074" customFormat="1">
      <c r="A106" s="1081"/>
      <c r="B106" s="1082"/>
      <c r="C106" s="1081"/>
      <c r="D106" s="1081"/>
      <c r="E106" s="1076"/>
      <c r="F106" s="1076"/>
      <c r="G106" s="1073"/>
    </row>
    <row r="107" spans="1:7" s="1074" customFormat="1">
      <c r="A107" s="1081"/>
      <c r="B107" s="1082"/>
      <c r="C107" s="1081"/>
      <c r="D107" s="1081"/>
      <c r="E107" s="1076"/>
      <c r="F107" s="1076"/>
      <c r="G107" s="1073"/>
    </row>
    <row r="108" spans="1:7" s="1074" customFormat="1">
      <c r="A108" s="1081"/>
      <c r="B108" s="1082"/>
      <c r="C108" s="1081"/>
      <c r="D108" s="1081"/>
      <c r="E108" s="1076"/>
      <c r="F108" s="1076"/>
      <c r="G108" s="1073"/>
    </row>
    <row r="109" spans="1:7" s="1074" customFormat="1">
      <c r="A109" s="1081"/>
      <c r="B109" s="1082"/>
      <c r="C109" s="1081"/>
      <c r="D109" s="1081"/>
      <c r="E109" s="1076"/>
      <c r="F109" s="1076"/>
      <c r="G109" s="1073"/>
    </row>
    <row r="110" spans="1:7" s="1074" customFormat="1">
      <c r="A110" s="1081"/>
      <c r="B110" s="1082"/>
      <c r="C110" s="1081"/>
      <c r="D110" s="1081"/>
      <c r="E110" s="1076"/>
      <c r="F110" s="1076"/>
      <c r="G110" s="1073"/>
    </row>
    <row r="111" spans="1:7" s="1074" customFormat="1">
      <c r="A111" s="1081"/>
      <c r="B111" s="1082"/>
      <c r="C111" s="1081"/>
      <c r="D111" s="1081"/>
      <c r="E111" s="1076"/>
      <c r="F111" s="1076"/>
      <c r="G111" s="1073"/>
    </row>
    <row r="112" spans="1:7" s="1074" customFormat="1">
      <c r="A112" s="1081"/>
      <c r="B112" s="1082"/>
      <c r="C112" s="1081"/>
      <c r="D112" s="1081"/>
      <c r="E112" s="1076"/>
      <c r="F112" s="1076"/>
      <c r="G112" s="1073"/>
    </row>
    <row r="113" spans="1:7" s="1074" customFormat="1">
      <c r="A113" s="1081"/>
      <c r="B113" s="1082"/>
      <c r="C113" s="1081"/>
      <c r="D113" s="1081"/>
      <c r="E113" s="1076"/>
      <c r="F113" s="1076"/>
      <c r="G113" s="1073"/>
    </row>
    <row r="114" spans="1:7" s="1074" customFormat="1">
      <c r="A114" s="1081"/>
      <c r="B114" s="1082"/>
      <c r="C114" s="1081"/>
      <c r="D114" s="1081"/>
      <c r="E114" s="1076"/>
      <c r="F114" s="1076"/>
      <c r="G114" s="1073"/>
    </row>
    <row r="115" spans="1:7" s="1074" customFormat="1">
      <c r="A115" s="1081"/>
      <c r="B115" s="1082"/>
      <c r="C115" s="1081"/>
      <c r="D115" s="1081"/>
      <c r="E115" s="1076"/>
      <c r="F115" s="1076"/>
      <c r="G115" s="1073"/>
    </row>
    <row r="116" spans="1:7" s="1074" customFormat="1">
      <c r="A116" s="1081"/>
      <c r="B116" s="1082"/>
      <c r="C116" s="1081"/>
      <c r="D116" s="1081"/>
      <c r="E116" s="1076"/>
      <c r="F116" s="1076"/>
      <c r="G116" s="1073"/>
    </row>
    <row r="117" spans="1:7" s="1074" customFormat="1">
      <c r="A117" s="1081"/>
      <c r="B117" s="1082"/>
      <c r="C117" s="1081"/>
      <c r="D117" s="1081"/>
      <c r="E117" s="1076"/>
      <c r="F117" s="1076"/>
      <c r="G117" s="1073"/>
    </row>
    <row r="118" spans="1:7" s="1074" customFormat="1">
      <c r="A118" s="1081"/>
      <c r="B118" s="1082"/>
      <c r="C118" s="1081"/>
      <c r="D118" s="1081"/>
      <c r="E118" s="1076"/>
      <c r="F118" s="1076"/>
      <c r="G118" s="1073"/>
    </row>
    <row r="119" spans="1:7" s="1074" customFormat="1">
      <c r="A119" s="1081"/>
      <c r="B119" s="1082"/>
      <c r="C119" s="1081"/>
      <c r="D119" s="1081"/>
      <c r="E119" s="1076"/>
      <c r="F119" s="1076"/>
      <c r="G119" s="1073"/>
    </row>
    <row r="120" spans="1:7" s="1074" customFormat="1">
      <c r="A120" s="1081"/>
      <c r="B120" s="1082"/>
      <c r="C120" s="1081"/>
      <c r="D120" s="1081"/>
      <c r="E120" s="1076"/>
      <c r="F120" s="1076"/>
      <c r="G120" s="1073"/>
    </row>
    <row r="121" spans="1:7" s="1074" customFormat="1">
      <c r="A121" s="1081"/>
      <c r="B121" s="1082"/>
      <c r="C121" s="1081"/>
      <c r="D121" s="1081"/>
      <c r="E121" s="1076"/>
      <c r="F121" s="1076"/>
      <c r="G121" s="1073"/>
    </row>
    <row r="122" spans="1:7" s="1074" customFormat="1">
      <c r="A122" s="1081"/>
      <c r="B122" s="1082"/>
      <c r="C122" s="1081"/>
      <c r="D122" s="1081"/>
      <c r="E122" s="1076"/>
      <c r="F122" s="1076"/>
      <c r="G122" s="1073"/>
    </row>
    <row r="123" spans="1:7" s="1074" customFormat="1">
      <c r="A123" s="1081"/>
      <c r="B123" s="1082"/>
      <c r="C123" s="1081"/>
      <c r="D123" s="1081"/>
      <c r="E123" s="1076"/>
      <c r="F123" s="1076"/>
      <c r="G123" s="1073"/>
    </row>
    <row r="124" spans="1:7" s="1074" customFormat="1">
      <c r="A124" s="1081"/>
      <c r="B124" s="1082"/>
      <c r="C124" s="1081"/>
      <c r="D124" s="1081"/>
      <c r="E124" s="1076"/>
      <c r="F124" s="1076"/>
      <c r="G124" s="1073"/>
    </row>
    <row r="125" spans="1:7" s="1074" customFormat="1">
      <c r="A125" s="1081"/>
      <c r="B125" s="1082"/>
      <c r="C125" s="1081"/>
      <c r="D125" s="1081"/>
      <c r="E125" s="1076"/>
      <c r="F125" s="1076"/>
      <c r="G125" s="1073"/>
    </row>
    <row r="126" spans="1:7" s="1074" customFormat="1">
      <c r="A126" s="1081"/>
      <c r="B126" s="1082"/>
      <c r="C126" s="1081"/>
      <c r="D126" s="1081"/>
      <c r="E126" s="1076"/>
      <c r="F126" s="1076"/>
      <c r="G126" s="1073"/>
    </row>
    <row r="127" spans="1:7" s="1074" customFormat="1">
      <c r="A127" s="1081"/>
      <c r="B127" s="1082"/>
      <c r="C127" s="1081"/>
      <c r="D127" s="1081"/>
      <c r="E127" s="1076"/>
      <c r="F127" s="1076"/>
      <c r="G127" s="1073"/>
    </row>
    <row r="128" spans="1:7" s="1074" customFormat="1">
      <c r="A128" s="1081"/>
      <c r="B128" s="1082"/>
      <c r="C128" s="1081"/>
      <c r="D128" s="1081"/>
      <c r="E128" s="1076"/>
      <c r="F128" s="1076"/>
      <c r="G128" s="1073"/>
    </row>
    <row r="129" spans="1:7" s="1074" customFormat="1">
      <c r="A129" s="1081"/>
      <c r="B129" s="1082"/>
      <c r="C129" s="1081"/>
      <c r="D129" s="1081"/>
      <c r="E129" s="1076"/>
      <c r="F129" s="1076"/>
      <c r="G129" s="1073"/>
    </row>
    <row r="130" spans="1:7" s="1074" customFormat="1">
      <c r="A130" s="1081"/>
      <c r="B130" s="1082"/>
      <c r="C130" s="1081"/>
      <c r="D130" s="1081"/>
      <c r="E130" s="1076"/>
      <c r="F130" s="1076"/>
      <c r="G130" s="1073"/>
    </row>
    <row r="131" spans="1:7" s="1074" customFormat="1">
      <c r="A131" s="1081"/>
      <c r="B131" s="1082"/>
      <c r="C131" s="1081"/>
      <c r="D131" s="1081"/>
      <c r="E131" s="1076"/>
      <c r="F131" s="1076"/>
      <c r="G131" s="1073"/>
    </row>
    <row r="132" spans="1:7" s="1074" customFormat="1">
      <c r="A132" s="1081"/>
      <c r="B132" s="1082"/>
      <c r="C132" s="1081"/>
      <c r="D132" s="1081"/>
      <c r="E132" s="1076"/>
      <c r="F132" s="1076"/>
      <c r="G132" s="1073"/>
    </row>
    <row r="133" spans="1:7" s="1074" customFormat="1">
      <c r="A133" s="1081"/>
      <c r="B133" s="1082"/>
      <c r="C133" s="1081"/>
      <c r="D133" s="1081"/>
      <c r="E133" s="1076"/>
      <c r="F133" s="1076"/>
      <c r="G133" s="1073"/>
    </row>
    <row r="134" spans="1:7" s="1074" customFormat="1">
      <c r="A134" s="1081"/>
      <c r="B134" s="1082"/>
      <c r="C134" s="1081"/>
      <c r="D134" s="1081"/>
      <c r="E134" s="1076"/>
      <c r="F134" s="1076"/>
      <c r="G134" s="1073"/>
    </row>
    <row r="135" spans="1:7" s="1074" customFormat="1">
      <c r="A135" s="1081"/>
      <c r="B135" s="1082"/>
      <c r="C135" s="1081"/>
      <c r="D135" s="1081"/>
      <c r="E135" s="1076"/>
      <c r="F135" s="1076"/>
      <c r="G135" s="1073"/>
    </row>
    <row r="136" spans="1:7" s="1075" customFormat="1">
      <c r="A136" s="1081"/>
      <c r="B136" s="1082"/>
      <c r="C136" s="1081"/>
      <c r="D136" s="1081"/>
      <c r="E136" s="1076"/>
      <c r="F136" s="1076"/>
      <c r="G136" s="1073"/>
    </row>
    <row r="137" spans="1:7" s="1075" customFormat="1">
      <c r="A137" s="1081"/>
      <c r="B137" s="1082"/>
      <c r="C137" s="1081"/>
      <c r="D137" s="1081"/>
      <c r="E137" s="1076"/>
      <c r="F137" s="1076"/>
      <c r="G137" s="1073"/>
    </row>
    <row r="139" spans="1:7" ht="15.75" customHeight="1"/>
    <row r="147" spans="8:8">
      <c r="H147" s="1077"/>
    </row>
    <row r="156" spans="8:8">
      <c r="H156" s="1078"/>
    </row>
    <row r="161" spans="8:9">
      <c r="H161" s="1079"/>
      <c r="I161" s="1080"/>
    </row>
    <row r="162" spans="8:9">
      <c r="H162" s="1079"/>
      <c r="I162" s="1080"/>
    </row>
    <row r="163" spans="8:9">
      <c r="H163" s="1079"/>
      <c r="I163" s="1080"/>
    </row>
    <row r="164" spans="8:9">
      <c r="H164" s="1079"/>
      <c r="I164" s="1080"/>
    </row>
    <row r="165" spans="8:9">
      <c r="H165" s="1079"/>
      <c r="I165" s="1080"/>
    </row>
    <row r="166" spans="8:9">
      <c r="H166" s="1079"/>
      <c r="I166" s="1080"/>
    </row>
    <row r="167" spans="8:9">
      <c r="H167" s="1079"/>
      <c r="I167" s="1080"/>
    </row>
    <row r="200" spans="1:7" s="1084" customFormat="1">
      <c r="A200" s="1081"/>
      <c r="B200" s="1082"/>
      <c r="C200" s="1081"/>
      <c r="D200" s="1081"/>
      <c r="E200" s="1076"/>
      <c r="F200" s="1076"/>
      <c r="G200" s="1073"/>
    </row>
    <row r="215" spans="1:10" s="559" customFormat="1">
      <c r="A215" s="1081"/>
      <c r="B215" s="1082"/>
      <c r="C215" s="1081"/>
      <c r="D215" s="1081"/>
      <c r="E215" s="1076"/>
      <c r="F215" s="1076"/>
      <c r="G215" s="1073"/>
      <c r="H215" s="674"/>
      <c r="I215" s="561"/>
      <c r="J215" s="560"/>
    </row>
    <row r="216" spans="1:10" s="559" customFormat="1">
      <c r="A216" s="1081"/>
      <c r="B216" s="1082"/>
      <c r="C216" s="1081"/>
      <c r="D216" s="1081"/>
      <c r="E216" s="1076"/>
      <c r="F216" s="1076"/>
      <c r="G216" s="1073"/>
      <c r="H216" s="674"/>
      <c r="I216" s="561"/>
      <c r="J216" s="560"/>
    </row>
    <row r="217" spans="1:10" s="559" customFormat="1">
      <c r="A217" s="1081"/>
      <c r="B217" s="1082"/>
      <c r="C217" s="1081"/>
      <c r="D217" s="1081"/>
      <c r="E217" s="1076"/>
      <c r="F217" s="1076"/>
      <c r="G217" s="1073"/>
      <c r="H217" s="674"/>
      <c r="I217" s="561"/>
      <c r="J217" s="560"/>
    </row>
    <row r="218" spans="1:10" s="559" customFormat="1">
      <c r="A218" s="1081"/>
      <c r="B218" s="1082"/>
      <c r="C218" s="1081"/>
      <c r="D218" s="1081"/>
      <c r="E218" s="1076"/>
      <c r="F218" s="1076"/>
      <c r="G218" s="1073"/>
      <c r="H218" s="1217"/>
      <c r="I218" s="561"/>
      <c r="J218" s="560"/>
    </row>
  </sheetData>
  <mergeCells count="4">
    <mergeCell ref="B2:F2"/>
    <mergeCell ref="E22:F22"/>
    <mergeCell ref="A17:F17"/>
    <mergeCell ref="A3:F3"/>
  </mergeCells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AF111"/>
  <sheetViews>
    <sheetView view="pageBreakPreview" zoomScale="20" zoomScaleNormal="100" zoomScaleSheetLayoutView="20" workbookViewId="0">
      <pane xSplit="5" ySplit="4" topLeftCell="F69" activePane="bottomRight" state="frozen"/>
      <selection pane="topRight" activeCell="F1" sqref="F1"/>
      <selection pane="bottomLeft" activeCell="A5" sqref="A5"/>
      <selection pane="bottomRight" activeCell="L101" sqref="L101"/>
    </sheetView>
  </sheetViews>
  <sheetFormatPr defaultRowHeight="70.5"/>
  <cols>
    <col min="1" max="1" width="19.7109375" style="157" customWidth="1"/>
    <col min="2" max="2" width="18" style="248" customWidth="1"/>
    <col min="3" max="3" width="64.7109375" style="257" customWidth="1"/>
    <col min="4" max="4" width="56.5703125" style="250" customWidth="1"/>
    <col min="5" max="5" width="67.42578125" style="258" customWidth="1"/>
    <col min="6" max="6" width="15.85546875" style="250" customWidth="1"/>
    <col min="7" max="7" width="16.5703125" style="250" hidden="1" customWidth="1"/>
    <col min="8" max="8" width="16.5703125" style="250" customWidth="1"/>
    <col min="9" max="9" width="34.28515625" style="250" customWidth="1"/>
    <col min="10" max="10" width="49.85546875" style="250" customWidth="1"/>
    <col min="11" max="11" width="30.5703125" style="250" customWidth="1"/>
    <col min="12" max="12" width="51.7109375" style="250" customWidth="1"/>
    <col min="13" max="13" width="35.28515625" style="250" customWidth="1"/>
    <col min="14" max="14" width="51" style="250" customWidth="1"/>
    <col min="15" max="15" width="36.85546875" style="249" customWidth="1"/>
    <col min="16" max="16" width="44.42578125" style="249" customWidth="1"/>
    <col min="17" max="17" width="49.28515625" style="259" customWidth="1"/>
    <col min="18" max="18" width="58.7109375" style="249" customWidth="1"/>
    <col min="19" max="19" width="49.28515625" style="249" customWidth="1"/>
    <col min="20" max="20" width="52.140625" style="249" customWidth="1"/>
    <col min="21" max="21" width="43.28515625" style="249" customWidth="1"/>
    <col min="22" max="22" width="52" style="249" customWidth="1"/>
    <col min="23" max="23" width="42.5703125" style="249" customWidth="1"/>
    <col min="24" max="24" width="46.85546875" style="249" customWidth="1"/>
    <col min="25" max="25" width="46.140625" style="249" customWidth="1"/>
    <col min="26" max="26" width="54.42578125" style="249" customWidth="1"/>
    <col min="27" max="27" width="47.7109375" style="249" customWidth="1"/>
    <col min="28" max="28" width="29.42578125" style="250" bestFit="1" customWidth="1"/>
    <col min="29" max="29" width="49.85546875" style="250" customWidth="1"/>
    <col min="30" max="31" width="60.5703125" style="250" customWidth="1"/>
    <col min="32" max="32" width="72.140625" style="142" customWidth="1"/>
    <col min="33" max="33" width="58.5703125" style="143" customWidth="1"/>
    <col min="34" max="34" width="74.28515625" style="143" customWidth="1"/>
    <col min="35" max="40" width="50.7109375" style="143" customWidth="1"/>
    <col min="41" max="63" width="10.7109375" style="143" customWidth="1"/>
    <col min="64" max="252" width="9.140625" style="143"/>
    <col min="253" max="253" width="21.42578125" style="143" customWidth="1"/>
    <col min="254" max="254" width="16.85546875" style="143" customWidth="1"/>
    <col min="255" max="255" width="104.7109375" style="143" customWidth="1"/>
    <col min="256" max="256" width="84.28515625" style="143" customWidth="1"/>
    <col min="257" max="257" width="93" style="143" customWidth="1"/>
    <col min="258" max="277" width="9.140625" style="143" customWidth="1"/>
    <col min="278" max="278" width="75.85546875" style="143" customWidth="1"/>
    <col min="279" max="279" width="10.7109375" style="143" customWidth="1"/>
    <col min="280" max="280" width="58.5703125" style="143" customWidth="1"/>
    <col min="281" max="281" width="50.7109375" style="143" customWidth="1"/>
    <col min="282" max="282" width="57.85546875" style="143" customWidth="1"/>
    <col min="283" max="283" width="60.85546875" style="143" customWidth="1"/>
    <col min="284" max="285" width="57.85546875" style="143" customWidth="1"/>
    <col min="286" max="286" width="58.5703125" style="143" customWidth="1"/>
    <col min="287" max="287" width="56.42578125" style="143" customWidth="1"/>
    <col min="288" max="288" width="50.7109375" style="143" customWidth="1"/>
    <col min="289" max="289" width="58.5703125" style="143" customWidth="1"/>
    <col min="290" max="290" width="55.7109375" style="143" customWidth="1"/>
    <col min="291" max="296" width="50.7109375" style="143" customWidth="1"/>
    <col min="297" max="319" width="10.7109375" style="143" customWidth="1"/>
    <col min="320" max="508" width="9.140625" style="143"/>
    <col min="509" max="509" width="21.42578125" style="143" customWidth="1"/>
    <col min="510" max="510" width="16.85546875" style="143" customWidth="1"/>
    <col min="511" max="511" width="104.7109375" style="143" customWidth="1"/>
    <col min="512" max="512" width="84.28515625" style="143" customWidth="1"/>
    <col min="513" max="513" width="93" style="143" customWidth="1"/>
    <col min="514" max="533" width="9.140625" style="143" customWidth="1"/>
    <col min="534" max="534" width="75.85546875" style="143" customWidth="1"/>
    <col min="535" max="535" width="10.7109375" style="143" customWidth="1"/>
    <col min="536" max="536" width="58.5703125" style="143" customWidth="1"/>
    <col min="537" max="537" width="50.7109375" style="143" customWidth="1"/>
    <col min="538" max="538" width="57.85546875" style="143" customWidth="1"/>
    <col min="539" max="539" width="60.85546875" style="143" customWidth="1"/>
    <col min="540" max="541" width="57.85546875" style="143" customWidth="1"/>
    <col min="542" max="542" width="58.5703125" style="143" customWidth="1"/>
    <col min="543" max="543" width="56.42578125" style="143" customWidth="1"/>
    <col min="544" max="544" width="50.7109375" style="143" customWidth="1"/>
    <col min="545" max="545" width="58.5703125" style="143" customWidth="1"/>
    <col min="546" max="546" width="55.7109375" style="143" customWidth="1"/>
    <col min="547" max="552" width="50.7109375" style="143" customWidth="1"/>
    <col min="553" max="575" width="10.7109375" style="143" customWidth="1"/>
    <col min="576" max="764" width="9.140625" style="143"/>
    <col min="765" max="765" width="21.42578125" style="143" customWidth="1"/>
    <col min="766" max="766" width="16.85546875" style="143" customWidth="1"/>
    <col min="767" max="767" width="104.7109375" style="143" customWidth="1"/>
    <col min="768" max="768" width="84.28515625" style="143" customWidth="1"/>
    <col min="769" max="769" width="93" style="143" customWidth="1"/>
    <col min="770" max="789" width="9.140625" style="143" customWidth="1"/>
    <col min="790" max="790" width="75.85546875" style="143" customWidth="1"/>
    <col min="791" max="791" width="10.7109375" style="143" customWidth="1"/>
    <col min="792" max="792" width="58.5703125" style="143" customWidth="1"/>
    <col min="793" max="793" width="50.7109375" style="143" customWidth="1"/>
    <col min="794" max="794" width="57.85546875" style="143" customWidth="1"/>
    <col min="795" max="795" width="60.85546875" style="143" customWidth="1"/>
    <col min="796" max="797" width="57.85546875" style="143" customWidth="1"/>
    <col min="798" max="798" width="58.5703125" style="143" customWidth="1"/>
    <col min="799" max="799" width="56.42578125" style="143" customWidth="1"/>
    <col min="800" max="800" width="50.7109375" style="143" customWidth="1"/>
    <col min="801" max="801" width="58.5703125" style="143" customWidth="1"/>
    <col min="802" max="802" width="55.7109375" style="143" customWidth="1"/>
    <col min="803" max="808" width="50.7109375" style="143" customWidth="1"/>
    <col min="809" max="831" width="10.7109375" style="143" customWidth="1"/>
    <col min="832" max="1020" width="9.140625" style="143"/>
    <col min="1021" max="1021" width="21.42578125" style="143" customWidth="1"/>
    <col min="1022" max="1022" width="16.85546875" style="143" customWidth="1"/>
    <col min="1023" max="1023" width="104.7109375" style="143" customWidth="1"/>
    <col min="1024" max="1024" width="84.28515625" style="143" customWidth="1"/>
    <col min="1025" max="1025" width="93" style="143" customWidth="1"/>
    <col min="1026" max="1045" width="9.140625" style="143" customWidth="1"/>
    <col min="1046" max="1046" width="75.85546875" style="143" customWidth="1"/>
    <col min="1047" max="1047" width="10.7109375" style="143" customWidth="1"/>
    <col min="1048" max="1048" width="58.5703125" style="143" customWidth="1"/>
    <col min="1049" max="1049" width="50.7109375" style="143" customWidth="1"/>
    <col min="1050" max="1050" width="57.85546875" style="143" customWidth="1"/>
    <col min="1051" max="1051" width="60.85546875" style="143" customWidth="1"/>
    <col min="1052" max="1053" width="57.85546875" style="143" customWidth="1"/>
    <col min="1054" max="1054" width="58.5703125" style="143" customWidth="1"/>
    <col min="1055" max="1055" width="56.42578125" style="143" customWidth="1"/>
    <col min="1056" max="1056" width="50.7109375" style="143" customWidth="1"/>
    <col min="1057" max="1057" width="58.5703125" style="143" customWidth="1"/>
    <col min="1058" max="1058" width="55.7109375" style="143" customWidth="1"/>
    <col min="1059" max="1064" width="50.7109375" style="143" customWidth="1"/>
    <col min="1065" max="1087" width="10.7109375" style="143" customWidth="1"/>
    <col min="1088" max="1276" width="9.140625" style="143"/>
    <col min="1277" max="1277" width="21.42578125" style="143" customWidth="1"/>
    <col min="1278" max="1278" width="16.85546875" style="143" customWidth="1"/>
    <col min="1279" max="1279" width="104.7109375" style="143" customWidth="1"/>
    <col min="1280" max="1280" width="84.28515625" style="143" customWidth="1"/>
    <col min="1281" max="1281" width="93" style="143" customWidth="1"/>
    <col min="1282" max="1301" width="9.140625" style="143" customWidth="1"/>
    <col min="1302" max="1302" width="75.85546875" style="143" customWidth="1"/>
    <col min="1303" max="1303" width="10.7109375" style="143" customWidth="1"/>
    <col min="1304" max="1304" width="58.5703125" style="143" customWidth="1"/>
    <col min="1305" max="1305" width="50.7109375" style="143" customWidth="1"/>
    <col min="1306" max="1306" width="57.85546875" style="143" customWidth="1"/>
    <col min="1307" max="1307" width="60.85546875" style="143" customWidth="1"/>
    <col min="1308" max="1309" width="57.85546875" style="143" customWidth="1"/>
    <col min="1310" max="1310" width="58.5703125" style="143" customWidth="1"/>
    <col min="1311" max="1311" width="56.42578125" style="143" customWidth="1"/>
    <col min="1312" max="1312" width="50.7109375" style="143" customWidth="1"/>
    <col min="1313" max="1313" width="58.5703125" style="143" customWidth="1"/>
    <col min="1314" max="1314" width="55.7109375" style="143" customWidth="1"/>
    <col min="1315" max="1320" width="50.7109375" style="143" customWidth="1"/>
    <col min="1321" max="1343" width="10.7109375" style="143" customWidth="1"/>
    <col min="1344" max="1532" width="9.140625" style="143"/>
    <col min="1533" max="1533" width="21.42578125" style="143" customWidth="1"/>
    <col min="1534" max="1534" width="16.85546875" style="143" customWidth="1"/>
    <col min="1535" max="1535" width="104.7109375" style="143" customWidth="1"/>
    <col min="1536" max="1536" width="84.28515625" style="143" customWidth="1"/>
    <col min="1537" max="1537" width="93" style="143" customWidth="1"/>
    <col min="1538" max="1557" width="9.140625" style="143" customWidth="1"/>
    <col min="1558" max="1558" width="75.85546875" style="143" customWidth="1"/>
    <col min="1559" max="1559" width="10.7109375" style="143" customWidth="1"/>
    <col min="1560" max="1560" width="58.5703125" style="143" customWidth="1"/>
    <col min="1561" max="1561" width="50.7109375" style="143" customWidth="1"/>
    <col min="1562" max="1562" width="57.85546875" style="143" customWidth="1"/>
    <col min="1563" max="1563" width="60.85546875" style="143" customWidth="1"/>
    <col min="1564" max="1565" width="57.85546875" style="143" customWidth="1"/>
    <col min="1566" max="1566" width="58.5703125" style="143" customWidth="1"/>
    <col min="1567" max="1567" width="56.42578125" style="143" customWidth="1"/>
    <col min="1568" max="1568" width="50.7109375" style="143" customWidth="1"/>
    <col min="1569" max="1569" width="58.5703125" style="143" customWidth="1"/>
    <col min="1570" max="1570" width="55.7109375" style="143" customWidth="1"/>
    <col min="1571" max="1576" width="50.7109375" style="143" customWidth="1"/>
    <col min="1577" max="1599" width="10.7109375" style="143" customWidth="1"/>
    <col min="1600" max="1788" width="9.140625" style="143"/>
    <col min="1789" max="1789" width="21.42578125" style="143" customWidth="1"/>
    <col min="1790" max="1790" width="16.85546875" style="143" customWidth="1"/>
    <col min="1791" max="1791" width="104.7109375" style="143" customWidth="1"/>
    <col min="1792" max="1792" width="84.28515625" style="143" customWidth="1"/>
    <col min="1793" max="1793" width="93" style="143" customWidth="1"/>
    <col min="1794" max="1813" width="9.140625" style="143" customWidth="1"/>
    <col min="1814" max="1814" width="75.85546875" style="143" customWidth="1"/>
    <col min="1815" max="1815" width="10.7109375" style="143" customWidth="1"/>
    <col min="1816" max="1816" width="58.5703125" style="143" customWidth="1"/>
    <col min="1817" max="1817" width="50.7109375" style="143" customWidth="1"/>
    <col min="1818" max="1818" width="57.85546875" style="143" customWidth="1"/>
    <col min="1819" max="1819" width="60.85546875" style="143" customWidth="1"/>
    <col min="1820" max="1821" width="57.85546875" style="143" customWidth="1"/>
    <col min="1822" max="1822" width="58.5703125" style="143" customWidth="1"/>
    <col min="1823" max="1823" width="56.42578125" style="143" customWidth="1"/>
    <col min="1824" max="1824" width="50.7109375" style="143" customWidth="1"/>
    <col min="1825" max="1825" width="58.5703125" style="143" customWidth="1"/>
    <col min="1826" max="1826" width="55.7109375" style="143" customWidth="1"/>
    <col min="1827" max="1832" width="50.7109375" style="143" customWidth="1"/>
    <col min="1833" max="1855" width="10.7109375" style="143" customWidth="1"/>
    <col min="1856" max="2044" width="9.140625" style="143"/>
    <col min="2045" max="2045" width="21.42578125" style="143" customWidth="1"/>
    <col min="2046" max="2046" width="16.85546875" style="143" customWidth="1"/>
    <col min="2047" max="2047" width="104.7109375" style="143" customWidth="1"/>
    <col min="2048" max="2048" width="84.28515625" style="143" customWidth="1"/>
    <col min="2049" max="2049" width="93" style="143" customWidth="1"/>
    <col min="2050" max="2069" width="9.140625" style="143" customWidth="1"/>
    <col min="2070" max="2070" width="75.85546875" style="143" customWidth="1"/>
    <col min="2071" max="2071" width="10.7109375" style="143" customWidth="1"/>
    <col min="2072" max="2072" width="58.5703125" style="143" customWidth="1"/>
    <col min="2073" max="2073" width="50.7109375" style="143" customWidth="1"/>
    <col min="2074" max="2074" width="57.85546875" style="143" customWidth="1"/>
    <col min="2075" max="2075" width="60.85546875" style="143" customWidth="1"/>
    <col min="2076" max="2077" width="57.85546875" style="143" customWidth="1"/>
    <col min="2078" max="2078" width="58.5703125" style="143" customWidth="1"/>
    <col min="2079" max="2079" width="56.42578125" style="143" customWidth="1"/>
    <col min="2080" max="2080" width="50.7109375" style="143" customWidth="1"/>
    <col min="2081" max="2081" width="58.5703125" style="143" customWidth="1"/>
    <col min="2082" max="2082" width="55.7109375" style="143" customWidth="1"/>
    <col min="2083" max="2088" width="50.7109375" style="143" customWidth="1"/>
    <col min="2089" max="2111" width="10.7109375" style="143" customWidth="1"/>
    <col min="2112" max="2300" width="9.140625" style="143"/>
    <col min="2301" max="2301" width="21.42578125" style="143" customWidth="1"/>
    <col min="2302" max="2302" width="16.85546875" style="143" customWidth="1"/>
    <col min="2303" max="2303" width="104.7109375" style="143" customWidth="1"/>
    <col min="2304" max="2304" width="84.28515625" style="143" customWidth="1"/>
    <col min="2305" max="2305" width="93" style="143" customWidth="1"/>
    <col min="2306" max="2325" width="9.140625" style="143" customWidth="1"/>
    <col min="2326" max="2326" width="75.85546875" style="143" customWidth="1"/>
    <col min="2327" max="2327" width="10.7109375" style="143" customWidth="1"/>
    <col min="2328" max="2328" width="58.5703125" style="143" customWidth="1"/>
    <col min="2329" max="2329" width="50.7109375" style="143" customWidth="1"/>
    <col min="2330" max="2330" width="57.85546875" style="143" customWidth="1"/>
    <col min="2331" max="2331" width="60.85546875" style="143" customWidth="1"/>
    <col min="2332" max="2333" width="57.85546875" style="143" customWidth="1"/>
    <col min="2334" max="2334" width="58.5703125" style="143" customWidth="1"/>
    <col min="2335" max="2335" width="56.42578125" style="143" customWidth="1"/>
    <col min="2336" max="2336" width="50.7109375" style="143" customWidth="1"/>
    <col min="2337" max="2337" width="58.5703125" style="143" customWidth="1"/>
    <col min="2338" max="2338" width="55.7109375" style="143" customWidth="1"/>
    <col min="2339" max="2344" width="50.7109375" style="143" customWidth="1"/>
    <col min="2345" max="2367" width="10.7109375" style="143" customWidth="1"/>
    <col min="2368" max="2556" width="9.140625" style="143"/>
    <col min="2557" max="2557" width="21.42578125" style="143" customWidth="1"/>
    <col min="2558" max="2558" width="16.85546875" style="143" customWidth="1"/>
    <col min="2559" max="2559" width="104.7109375" style="143" customWidth="1"/>
    <col min="2560" max="2560" width="84.28515625" style="143" customWidth="1"/>
    <col min="2561" max="2561" width="93" style="143" customWidth="1"/>
    <col min="2562" max="2581" width="9.140625" style="143" customWidth="1"/>
    <col min="2582" max="2582" width="75.85546875" style="143" customWidth="1"/>
    <col min="2583" max="2583" width="10.7109375" style="143" customWidth="1"/>
    <col min="2584" max="2584" width="58.5703125" style="143" customWidth="1"/>
    <col min="2585" max="2585" width="50.7109375" style="143" customWidth="1"/>
    <col min="2586" max="2586" width="57.85546875" style="143" customWidth="1"/>
    <col min="2587" max="2587" width="60.85546875" style="143" customWidth="1"/>
    <col min="2588" max="2589" width="57.85546875" style="143" customWidth="1"/>
    <col min="2590" max="2590" width="58.5703125" style="143" customWidth="1"/>
    <col min="2591" max="2591" width="56.42578125" style="143" customWidth="1"/>
    <col min="2592" max="2592" width="50.7109375" style="143" customWidth="1"/>
    <col min="2593" max="2593" width="58.5703125" style="143" customWidth="1"/>
    <col min="2594" max="2594" width="55.7109375" style="143" customWidth="1"/>
    <col min="2595" max="2600" width="50.7109375" style="143" customWidth="1"/>
    <col min="2601" max="2623" width="10.7109375" style="143" customWidth="1"/>
    <col min="2624" max="2812" width="9.140625" style="143"/>
    <col min="2813" max="2813" width="21.42578125" style="143" customWidth="1"/>
    <col min="2814" max="2814" width="16.85546875" style="143" customWidth="1"/>
    <col min="2815" max="2815" width="104.7109375" style="143" customWidth="1"/>
    <col min="2816" max="2816" width="84.28515625" style="143" customWidth="1"/>
    <col min="2817" max="2817" width="93" style="143" customWidth="1"/>
    <col min="2818" max="2837" width="9.140625" style="143" customWidth="1"/>
    <col min="2838" max="2838" width="75.85546875" style="143" customWidth="1"/>
    <col min="2839" max="2839" width="10.7109375" style="143" customWidth="1"/>
    <col min="2840" max="2840" width="58.5703125" style="143" customWidth="1"/>
    <col min="2841" max="2841" width="50.7109375" style="143" customWidth="1"/>
    <col min="2842" max="2842" width="57.85546875" style="143" customWidth="1"/>
    <col min="2843" max="2843" width="60.85546875" style="143" customWidth="1"/>
    <col min="2844" max="2845" width="57.85546875" style="143" customWidth="1"/>
    <col min="2846" max="2846" width="58.5703125" style="143" customWidth="1"/>
    <col min="2847" max="2847" width="56.42578125" style="143" customWidth="1"/>
    <col min="2848" max="2848" width="50.7109375" style="143" customWidth="1"/>
    <col min="2849" max="2849" width="58.5703125" style="143" customWidth="1"/>
    <col min="2850" max="2850" width="55.7109375" style="143" customWidth="1"/>
    <col min="2851" max="2856" width="50.7109375" style="143" customWidth="1"/>
    <col min="2857" max="2879" width="10.7109375" style="143" customWidth="1"/>
    <col min="2880" max="3068" width="9.140625" style="143"/>
    <col min="3069" max="3069" width="21.42578125" style="143" customWidth="1"/>
    <col min="3070" max="3070" width="16.85546875" style="143" customWidth="1"/>
    <col min="3071" max="3071" width="104.7109375" style="143" customWidth="1"/>
    <col min="3072" max="3072" width="84.28515625" style="143" customWidth="1"/>
    <col min="3073" max="3073" width="93" style="143" customWidth="1"/>
    <col min="3074" max="3093" width="9.140625" style="143" customWidth="1"/>
    <col min="3094" max="3094" width="75.85546875" style="143" customWidth="1"/>
    <col min="3095" max="3095" width="10.7109375" style="143" customWidth="1"/>
    <col min="3096" max="3096" width="58.5703125" style="143" customWidth="1"/>
    <col min="3097" max="3097" width="50.7109375" style="143" customWidth="1"/>
    <col min="3098" max="3098" width="57.85546875" style="143" customWidth="1"/>
    <col min="3099" max="3099" width="60.85546875" style="143" customWidth="1"/>
    <col min="3100" max="3101" width="57.85546875" style="143" customWidth="1"/>
    <col min="3102" max="3102" width="58.5703125" style="143" customWidth="1"/>
    <col min="3103" max="3103" width="56.42578125" style="143" customWidth="1"/>
    <col min="3104" max="3104" width="50.7109375" style="143" customWidth="1"/>
    <col min="3105" max="3105" width="58.5703125" style="143" customWidth="1"/>
    <col min="3106" max="3106" width="55.7109375" style="143" customWidth="1"/>
    <col min="3107" max="3112" width="50.7109375" style="143" customWidth="1"/>
    <col min="3113" max="3135" width="10.7109375" style="143" customWidth="1"/>
    <col min="3136" max="3324" width="9.140625" style="143"/>
    <col min="3325" max="3325" width="21.42578125" style="143" customWidth="1"/>
    <col min="3326" max="3326" width="16.85546875" style="143" customWidth="1"/>
    <col min="3327" max="3327" width="104.7109375" style="143" customWidth="1"/>
    <col min="3328" max="3328" width="84.28515625" style="143" customWidth="1"/>
    <col min="3329" max="3329" width="93" style="143" customWidth="1"/>
    <col min="3330" max="3349" width="9.140625" style="143" customWidth="1"/>
    <col min="3350" max="3350" width="75.85546875" style="143" customWidth="1"/>
    <col min="3351" max="3351" width="10.7109375" style="143" customWidth="1"/>
    <col min="3352" max="3352" width="58.5703125" style="143" customWidth="1"/>
    <col min="3353" max="3353" width="50.7109375" style="143" customWidth="1"/>
    <col min="3354" max="3354" width="57.85546875" style="143" customWidth="1"/>
    <col min="3355" max="3355" width="60.85546875" style="143" customWidth="1"/>
    <col min="3356" max="3357" width="57.85546875" style="143" customWidth="1"/>
    <col min="3358" max="3358" width="58.5703125" style="143" customWidth="1"/>
    <col min="3359" max="3359" width="56.42578125" style="143" customWidth="1"/>
    <col min="3360" max="3360" width="50.7109375" style="143" customWidth="1"/>
    <col min="3361" max="3361" width="58.5703125" style="143" customWidth="1"/>
    <col min="3362" max="3362" width="55.7109375" style="143" customWidth="1"/>
    <col min="3363" max="3368" width="50.7109375" style="143" customWidth="1"/>
    <col min="3369" max="3391" width="10.7109375" style="143" customWidth="1"/>
    <col min="3392" max="3580" width="9.140625" style="143"/>
    <col min="3581" max="3581" width="21.42578125" style="143" customWidth="1"/>
    <col min="3582" max="3582" width="16.85546875" style="143" customWidth="1"/>
    <col min="3583" max="3583" width="104.7109375" style="143" customWidth="1"/>
    <col min="3584" max="3584" width="84.28515625" style="143" customWidth="1"/>
    <col min="3585" max="3585" width="93" style="143" customWidth="1"/>
    <col min="3586" max="3605" width="9.140625" style="143" customWidth="1"/>
    <col min="3606" max="3606" width="75.85546875" style="143" customWidth="1"/>
    <col min="3607" max="3607" width="10.7109375" style="143" customWidth="1"/>
    <col min="3608" max="3608" width="58.5703125" style="143" customWidth="1"/>
    <col min="3609" max="3609" width="50.7109375" style="143" customWidth="1"/>
    <col min="3610" max="3610" width="57.85546875" style="143" customWidth="1"/>
    <col min="3611" max="3611" width="60.85546875" style="143" customWidth="1"/>
    <col min="3612" max="3613" width="57.85546875" style="143" customWidth="1"/>
    <col min="3614" max="3614" width="58.5703125" style="143" customWidth="1"/>
    <col min="3615" max="3615" width="56.42578125" style="143" customWidth="1"/>
    <col min="3616" max="3616" width="50.7109375" style="143" customWidth="1"/>
    <col min="3617" max="3617" width="58.5703125" style="143" customWidth="1"/>
    <col min="3618" max="3618" width="55.7109375" style="143" customWidth="1"/>
    <col min="3619" max="3624" width="50.7109375" style="143" customWidth="1"/>
    <col min="3625" max="3647" width="10.7109375" style="143" customWidth="1"/>
    <col min="3648" max="3836" width="9.140625" style="143"/>
    <col min="3837" max="3837" width="21.42578125" style="143" customWidth="1"/>
    <col min="3838" max="3838" width="16.85546875" style="143" customWidth="1"/>
    <col min="3839" max="3839" width="104.7109375" style="143" customWidth="1"/>
    <col min="3840" max="3840" width="84.28515625" style="143" customWidth="1"/>
    <col min="3841" max="3841" width="93" style="143" customWidth="1"/>
    <col min="3842" max="3861" width="9.140625" style="143" customWidth="1"/>
    <col min="3862" max="3862" width="75.85546875" style="143" customWidth="1"/>
    <col min="3863" max="3863" width="10.7109375" style="143" customWidth="1"/>
    <col min="3864" max="3864" width="58.5703125" style="143" customWidth="1"/>
    <col min="3865" max="3865" width="50.7109375" style="143" customWidth="1"/>
    <col min="3866" max="3866" width="57.85546875" style="143" customWidth="1"/>
    <col min="3867" max="3867" width="60.85546875" style="143" customWidth="1"/>
    <col min="3868" max="3869" width="57.85546875" style="143" customWidth="1"/>
    <col min="3870" max="3870" width="58.5703125" style="143" customWidth="1"/>
    <col min="3871" max="3871" width="56.42578125" style="143" customWidth="1"/>
    <col min="3872" max="3872" width="50.7109375" style="143" customWidth="1"/>
    <col min="3873" max="3873" width="58.5703125" style="143" customWidth="1"/>
    <col min="3874" max="3874" width="55.7109375" style="143" customWidth="1"/>
    <col min="3875" max="3880" width="50.7109375" style="143" customWidth="1"/>
    <col min="3881" max="3903" width="10.7109375" style="143" customWidth="1"/>
    <col min="3904" max="4092" width="9.140625" style="143"/>
    <col min="4093" max="4093" width="21.42578125" style="143" customWidth="1"/>
    <col min="4094" max="4094" width="16.85546875" style="143" customWidth="1"/>
    <col min="4095" max="4095" width="104.7109375" style="143" customWidth="1"/>
    <col min="4096" max="4096" width="84.28515625" style="143" customWidth="1"/>
    <col min="4097" max="4097" width="93" style="143" customWidth="1"/>
    <col min="4098" max="4117" width="9.140625" style="143" customWidth="1"/>
    <col min="4118" max="4118" width="75.85546875" style="143" customWidth="1"/>
    <col min="4119" max="4119" width="10.7109375" style="143" customWidth="1"/>
    <col min="4120" max="4120" width="58.5703125" style="143" customWidth="1"/>
    <col min="4121" max="4121" width="50.7109375" style="143" customWidth="1"/>
    <col min="4122" max="4122" width="57.85546875" style="143" customWidth="1"/>
    <col min="4123" max="4123" width="60.85546875" style="143" customWidth="1"/>
    <col min="4124" max="4125" width="57.85546875" style="143" customWidth="1"/>
    <col min="4126" max="4126" width="58.5703125" style="143" customWidth="1"/>
    <col min="4127" max="4127" width="56.42578125" style="143" customWidth="1"/>
    <col min="4128" max="4128" width="50.7109375" style="143" customWidth="1"/>
    <col min="4129" max="4129" width="58.5703125" style="143" customWidth="1"/>
    <col min="4130" max="4130" width="55.7109375" style="143" customWidth="1"/>
    <col min="4131" max="4136" width="50.7109375" style="143" customWidth="1"/>
    <col min="4137" max="4159" width="10.7109375" style="143" customWidth="1"/>
    <col min="4160" max="4348" width="9.140625" style="143"/>
    <col min="4349" max="4349" width="21.42578125" style="143" customWidth="1"/>
    <col min="4350" max="4350" width="16.85546875" style="143" customWidth="1"/>
    <col min="4351" max="4351" width="104.7109375" style="143" customWidth="1"/>
    <col min="4352" max="4352" width="84.28515625" style="143" customWidth="1"/>
    <col min="4353" max="4353" width="93" style="143" customWidth="1"/>
    <col min="4354" max="4373" width="9.140625" style="143" customWidth="1"/>
    <col min="4374" max="4374" width="75.85546875" style="143" customWidth="1"/>
    <col min="4375" max="4375" width="10.7109375" style="143" customWidth="1"/>
    <col min="4376" max="4376" width="58.5703125" style="143" customWidth="1"/>
    <col min="4377" max="4377" width="50.7109375" style="143" customWidth="1"/>
    <col min="4378" max="4378" width="57.85546875" style="143" customWidth="1"/>
    <col min="4379" max="4379" width="60.85546875" style="143" customWidth="1"/>
    <col min="4380" max="4381" width="57.85546875" style="143" customWidth="1"/>
    <col min="4382" max="4382" width="58.5703125" style="143" customWidth="1"/>
    <col min="4383" max="4383" width="56.42578125" style="143" customWidth="1"/>
    <col min="4384" max="4384" width="50.7109375" style="143" customWidth="1"/>
    <col min="4385" max="4385" width="58.5703125" style="143" customWidth="1"/>
    <col min="4386" max="4386" width="55.7109375" style="143" customWidth="1"/>
    <col min="4387" max="4392" width="50.7109375" style="143" customWidth="1"/>
    <col min="4393" max="4415" width="10.7109375" style="143" customWidth="1"/>
    <col min="4416" max="4604" width="9.140625" style="143"/>
    <col min="4605" max="4605" width="21.42578125" style="143" customWidth="1"/>
    <col min="4606" max="4606" width="16.85546875" style="143" customWidth="1"/>
    <col min="4607" max="4607" width="104.7109375" style="143" customWidth="1"/>
    <col min="4608" max="4608" width="84.28515625" style="143" customWidth="1"/>
    <col min="4609" max="4609" width="93" style="143" customWidth="1"/>
    <col min="4610" max="4629" width="9.140625" style="143" customWidth="1"/>
    <col min="4630" max="4630" width="75.85546875" style="143" customWidth="1"/>
    <col min="4631" max="4631" width="10.7109375" style="143" customWidth="1"/>
    <col min="4632" max="4632" width="58.5703125" style="143" customWidth="1"/>
    <col min="4633" max="4633" width="50.7109375" style="143" customWidth="1"/>
    <col min="4634" max="4634" width="57.85546875" style="143" customWidth="1"/>
    <col min="4635" max="4635" width="60.85546875" style="143" customWidth="1"/>
    <col min="4636" max="4637" width="57.85546875" style="143" customWidth="1"/>
    <col min="4638" max="4638" width="58.5703125" style="143" customWidth="1"/>
    <col min="4639" max="4639" width="56.42578125" style="143" customWidth="1"/>
    <col min="4640" max="4640" width="50.7109375" style="143" customWidth="1"/>
    <col min="4641" max="4641" width="58.5703125" style="143" customWidth="1"/>
    <col min="4642" max="4642" width="55.7109375" style="143" customWidth="1"/>
    <col min="4643" max="4648" width="50.7109375" style="143" customWidth="1"/>
    <col min="4649" max="4671" width="10.7109375" style="143" customWidth="1"/>
    <col min="4672" max="4860" width="9.140625" style="143"/>
    <col min="4861" max="4861" width="21.42578125" style="143" customWidth="1"/>
    <col min="4862" max="4862" width="16.85546875" style="143" customWidth="1"/>
    <col min="4863" max="4863" width="104.7109375" style="143" customWidth="1"/>
    <col min="4864" max="4864" width="84.28515625" style="143" customWidth="1"/>
    <col min="4865" max="4865" width="93" style="143" customWidth="1"/>
    <col min="4866" max="4885" width="9.140625" style="143" customWidth="1"/>
    <col min="4886" max="4886" width="75.85546875" style="143" customWidth="1"/>
    <col min="4887" max="4887" width="10.7109375" style="143" customWidth="1"/>
    <col min="4888" max="4888" width="58.5703125" style="143" customWidth="1"/>
    <col min="4889" max="4889" width="50.7109375" style="143" customWidth="1"/>
    <col min="4890" max="4890" width="57.85546875" style="143" customWidth="1"/>
    <col min="4891" max="4891" width="60.85546875" style="143" customWidth="1"/>
    <col min="4892" max="4893" width="57.85546875" style="143" customWidth="1"/>
    <col min="4894" max="4894" width="58.5703125" style="143" customWidth="1"/>
    <col min="4895" max="4895" width="56.42578125" style="143" customWidth="1"/>
    <col min="4896" max="4896" width="50.7109375" style="143" customWidth="1"/>
    <col min="4897" max="4897" width="58.5703125" style="143" customWidth="1"/>
    <col min="4898" max="4898" width="55.7109375" style="143" customWidth="1"/>
    <col min="4899" max="4904" width="50.7109375" style="143" customWidth="1"/>
    <col min="4905" max="4927" width="10.7109375" style="143" customWidth="1"/>
    <col min="4928" max="5116" width="9.140625" style="143"/>
    <col min="5117" max="5117" width="21.42578125" style="143" customWidth="1"/>
    <col min="5118" max="5118" width="16.85546875" style="143" customWidth="1"/>
    <col min="5119" max="5119" width="104.7109375" style="143" customWidth="1"/>
    <col min="5120" max="5120" width="84.28515625" style="143" customWidth="1"/>
    <col min="5121" max="5121" width="93" style="143" customWidth="1"/>
    <col min="5122" max="5141" width="9.140625" style="143" customWidth="1"/>
    <col min="5142" max="5142" width="75.85546875" style="143" customWidth="1"/>
    <col min="5143" max="5143" width="10.7109375" style="143" customWidth="1"/>
    <col min="5144" max="5144" width="58.5703125" style="143" customWidth="1"/>
    <col min="5145" max="5145" width="50.7109375" style="143" customWidth="1"/>
    <col min="5146" max="5146" width="57.85546875" style="143" customWidth="1"/>
    <col min="5147" max="5147" width="60.85546875" style="143" customWidth="1"/>
    <col min="5148" max="5149" width="57.85546875" style="143" customWidth="1"/>
    <col min="5150" max="5150" width="58.5703125" style="143" customWidth="1"/>
    <col min="5151" max="5151" width="56.42578125" style="143" customWidth="1"/>
    <col min="5152" max="5152" width="50.7109375" style="143" customWidth="1"/>
    <col min="5153" max="5153" width="58.5703125" style="143" customWidth="1"/>
    <col min="5154" max="5154" width="55.7109375" style="143" customWidth="1"/>
    <col min="5155" max="5160" width="50.7109375" style="143" customWidth="1"/>
    <col min="5161" max="5183" width="10.7109375" style="143" customWidth="1"/>
    <col min="5184" max="5372" width="9.140625" style="143"/>
    <col min="5373" max="5373" width="21.42578125" style="143" customWidth="1"/>
    <col min="5374" max="5374" width="16.85546875" style="143" customWidth="1"/>
    <col min="5375" max="5375" width="104.7109375" style="143" customWidth="1"/>
    <col min="5376" max="5376" width="84.28515625" style="143" customWidth="1"/>
    <col min="5377" max="5377" width="93" style="143" customWidth="1"/>
    <col min="5378" max="5397" width="9.140625" style="143" customWidth="1"/>
    <col min="5398" max="5398" width="75.85546875" style="143" customWidth="1"/>
    <col min="5399" max="5399" width="10.7109375" style="143" customWidth="1"/>
    <col min="5400" max="5400" width="58.5703125" style="143" customWidth="1"/>
    <col min="5401" max="5401" width="50.7109375" style="143" customWidth="1"/>
    <col min="5402" max="5402" width="57.85546875" style="143" customWidth="1"/>
    <col min="5403" max="5403" width="60.85546875" style="143" customWidth="1"/>
    <col min="5404" max="5405" width="57.85546875" style="143" customWidth="1"/>
    <col min="5406" max="5406" width="58.5703125" style="143" customWidth="1"/>
    <col min="5407" max="5407" width="56.42578125" style="143" customWidth="1"/>
    <col min="5408" max="5408" width="50.7109375" style="143" customWidth="1"/>
    <col min="5409" max="5409" width="58.5703125" style="143" customWidth="1"/>
    <col min="5410" max="5410" width="55.7109375" style="143" customWidth="1"/>
    <col min="5411" max="5416" width="50.7109375" style="143" customWidth="1"/>
    <col min="5417" max="5439" width="10.7109375" style="143" customWidth="1"/>
    <col min="5440" max="5628" width="9.140625" style="143"/>
    <col min="5629" max="5629" width="21.42578125" style="143" customWidth="1"/>
    <col min="5630" max="5630" width="16.85546875" style="143" customWidth="1"/>
    <col min="5631" max="5631" width="104.7109375" style="143" customWidth="1"/>
    <col min="5632" max="5632" width="84.28515625" style="143" customWidth="1"/>
    <col min="5633" max="5633" width="93" style="143" customWidth="1"/>
    <col min="5634" max="5653" width="9.140625" style="143" customWidth="1"/>
    <col min="5654" max="5654" width="75.85546875" style="143" customWidth="1"/>
    <col min="5655" max="5655" width="10.7109375" style="143" customWidth="1"/>
    <col min="5656" max="5656" width="58.5703125" style="143" customWidth="1"/>
    <col min="5657" max="5657" width="50.7109375" style="143" customWidth="1"/>
    <col min="5658" max="5658" width="57.85546875" style="143" customWidth="1"/>
    <col min="5659" max="5659" width="60.85546875" style="143" customWidth="1"/>
    <col min="5660" max="5661" width="57.85546875" style="143" customWidth="1"/>
    <col min="5662" max="5662" width="58.5703125" style="143" customWidth="1"/>
    <col min="5663" max="5663" width="56.42578125" style="143" customWidth="1"/>
    <col min="5664" max="5664" width="50.7109375" style="143" customWidth="1"/>
    <col min="5665" max="5665" width="58.5703125" style="143" customWidth="1"/>
    <col min="5666" max="5666" width="55.7109375" style="143" customWidth="1"/>
    <col min="5667" max="5672" width="50.7109375" style="143" customWidth="1"/>
    <col min="5673" max="5695" width="10.7109375" style="143" customWidth="1"/>
    <col min="5696" max="5884" width="9.140625" style="143"/>
    <col min="5885" max="5885" width="21.42578125" style="143" customWidth="1"/>
    <col min="5886" max="5886" width="16.85546875" style="143" customWidth="1"/>
    <col min="5887" max="5887" width="104.7109375" style="143" customWidth="1"/>
    <col min="5888" max="5888" width="84.28515625" style="143" customWidth="1"/>
    <col min="5889" max="5889" width="93" style="143" customWidth="1"/>
    <col min="5890" max="5909" width="9.140625" style="143" customWidth="1"/>
    <col min="5910" max="5910" width="75.85546875" style="143" customWidth="1"/>
    <col min="5911" max="5911" width="10.7109375" style="143" customWidth="1"/>
    <col min="5912" max="5912" width="58.5703125" style="143" customWidth="1"/>
    <col min="5913" max="5913" width="50.7109375" style="143" customWidth="1"/>
    <col min="5914" max="5914" width="57.85546875" style="143" customWidth="1"/>
    <col min="5915" max="5915" width="60.85546875" style="143" customWidth="1"/>
    <col min="5916" max="5917" width="57.85546875" style="143" customWidth="1"/>
    <col min="5918" max="5918" width="58.5703125" style="143" customWidth="1"/>
    <col min="5919" max="5919" width="56.42578125" style="143" customWidth="1"/>
    <col min="5920" max="5920" width="50.7109375" style="143" customWidth="1"/>
    <col min="5921" max="5921" width="58.5703125" style="143" customWidth="1"/>
    <col min="5922" max="5922" width="55.7109375" style="143" customWidth="1"/>
    <col min="5923" max="5928" width="50.7109375" style="143" customWidth="1"/>
    <col min="5929" max="5951" width="10.7109375" style="143" customWidth="1"/>
    <col min="5952" max="6140" width="9.140625" style="143"/>
    <col min="6141" max="6141" width="21.42578125" style="143" customWidth="1"/>
    <col min="6142" max="6142" width="16.85546875" style="143" customWidth="1"/>
    <col min="6143" max="6143" width="104.7109375" style="143" customWidth="1"/>
    <col min="6144" max="6144" width="84.28515625" style="143" customWidth="1"/>
    <col min="6145" max="6145" width="93" style="143" customWidth="1"/>
    <col min="6146" max="6165" width="9.140625" style="143" customWidth="1"/>
    <col min="6166" max="6166" width="75.85546875" style="143" customWidth="1"/>
    <col min="6167" max="6167" width="10.7109375" style="143" customWidth="1"/>
    <col min="6168" max="6168" width="58.5703125" style="143" customWidth="1"/>
    <col min="6169" max="6169" width="50.7109375" style="143" customWidth="1"/>
    <col min="6170" max="6170" width="57.85546875" style="143" customWidth="1"/>
    <col min="6171" max="6171" width="60.85546875" style="143" customWidth="1"/>
    <col min="6172" max="6173" width="57.85546875" style="143" customWidth="1"/>
    <col min="6174" max="6174" width="58.5703125" style="143" customWidth="1"/>
    <col min="6175" max="6175" width="56.42578125" style="143" customWidth="1"/>
    <col min="6176" max="6176" width="50.7109375" style="143" customWidth="1"/>
    <col min="6177" max="6177" width="58.5703125" style="143" customWidth="1"/>
    <col min="6178" max="6178" width="55.7109375" style="143" customWidth="1"/>
    <col min="6179" max="6184" width="50.7109375" style="143" customWidth="1"/>
    <col min="6185" max="6207" width="10.7109375" style="143" customWidth="1"/>
    <col min="6208" max="6396" width="9.140625" style="143"/>
    <col min="6397" max="6397" width="21.42578125" style="143" customWidth="1"/>
    <col min="6398" max="6398" width="16.85546875" style="143" customWidth="1"/>
    <col min="6399" max="6399" width="104.7109375" style="143" customWidth="1"/>
    <col min="6400" max="6400" width="84.28515625" style="143" customWidth="1"/>
    <col min="6401" max="6401" width="93" style="143" customWidth="1"/>
    <col min="6402" max="6421" width="9.140625" style="143" customWidth="1"/>
    <col min="6422" max="6422" width="75.85546875" style="143" customWidth="1"/>
    <col min="6423" max="6423" width="10.7109375" style="143" customWidth="1"/>
    <col min="6424" max="6424" width="58.5703125" style="143" customWidth="1"/>
    <col min="6425" max="6425" width="50.7109375" style="143" customWidth="1"/>
    <col min="6426" max="6426" width="57.85546875" style="143" customWidth="1"/>
    <col min="6427" max="6427" width="60.85546875" style="143" customWidth="1"/>
    <col min="6428" max="6429" width="57.85546875" style="143" customWidth="1"/>
    <col min="6430" max="6430" width="58.5703125" style="143" customWidth="1"/>
    <col min="6431" max="6431" width="56.42578125" style="143" customWidth="1"/>
    <col min="6432" max="6432" width="50.7109375" style="143" customWidth="1"/>
    <col min="6433" max="6433" width="58.5703125" style="143" customWidth="1"/>
    <col min="6434" max="6434" width="55.7109375" style="143" customWidth="1"/>
    <col min="6435" max="6440" width="50.7109375" style="143" customWidth="1"/>
    <col min="6441" max="6463" width="10.7109375" style="143" customWidth="1"/>
    <col min="6464" max="6652" width="9.140625" style="143"/>
    <col min="6653" max="6653" width="21.42578125" style="143" customWidth="1"/>
    <col min="6654" max="6654" width="16.85546875" style="143" customWidth="1"/>
    <col min="6655" max="6655" width="104.7109375" style="143" customWidth="1"/>
    <col min="6656" max="6656" width="84.28515625" style="143" customWidth="1"/>
    <col min="6657" max="6657" width="93" style="143" customWidth="1"/>
    <col min="6658" max="6677" width="9.140625" style="143" customWidth="1"/>
    <col min="6678" max="6678" width="75.85546875" style="143" customWidth="1"/>
    <col min="6679" max="6679" width="10.7109375" style="143" customWidth="1"/>
    <col min="6680" max="6680" width="58.5703125" style="143" customWidth="1"/>
    <col min="6681" max="6681" width="50.7109375" style="143" customWidth="1"/>
    <col min="6682" max="6682" width="57.85546875" style="143" customWidth="1"/>
    <col min="6683" max="6683" width="60.85546875" style="143" customWidth="1"/>
    <col min="6684" max="6685" width="57.85546875" style="143" customWidth="1"/>
    <col min="6686" max="6686" width="58.5703125" style="143" customWidth="1"/>
    <col min="6687" max="6687" width="56.42578125" style="143" customWidth="1"/>
    <col min="6688" max="6688" width="50.7109375" style="143" customWidth="1"/>
    <col min="6689" max="6689" width="58.5703125" style="143" customWidth="1"/>
    <col min="6690" max="6690" width="55.7109375" style="143" customWidth="1"/>
    <col min="6691" max="6696" width="50.7109375" style="143" customWidth="1"/>
    <col min="6697" max="6719" width="10.7109375" style="143" customWidth="1"/>
    <col min="6720" max="6908" width="9.140625" style="143"/>
    <col min="6909" max="6909" width="21.42578125" style="143" customWidth="1"/>
    <col min="6910" max="6910" width="16.85546875" style="143" customWidth="1"/>
    <col min="6911" max="6911" width="104.7109375" style="143" customWidth="1"/>
    <col min="6912" max="6912" width="84.28515625" style="143" customWidth="1"/>
    <col min="6913" max="6913" width="93" style="143" customWidth="1"/>
    <col min="6914" max="6933" width="9.140625" style="143" customWidth="1"/>
    <col min="6934" max="6934" width="75.85546875" style="143" customWidth="1"/>
    <col min="6935" max="6935" width="10.7109375" style="143" customWidth="1"/>
    <col min="6936" max="6936" width="58.5703125" style="143" customWidth="1"/>
    <col min="6937" max="6937" width="50.7109375" style="143" customWidth="1"/>
    <col min="6938" max="6938" width="57.85546875" style="143" customWidth="1"/>
    <col min="6939" max="6939" width="60.85546875" style="143" customWidth="1"/>
    <col min="6940" max="6941" width="57.85546875" style="143" customWidth="1"/>
    <col min="6942" max="6942" width="58.5703125" style="143" customWidth="1"/>
    <col min="6943" max="6943" width="56.42578125" style="143" customWidth="1"/>
    <col min="6944" max="6944" width="50.7109375" style="143" customWidth="1"/>
    <col min="6945" max="6945" width="58.5703125" style="143" customWidth="1"/>
    <col min="6946" max="6946" width="55.7109375" style="143" customWidth="1"/>
    <col min="6947" max="6952" width="50.7109375" style="143" customWidth="1"/>
    <col min="6953" max="6975" width="10.7109375" style="143" customWidth="1"/>
    <col min="6976" max="7164" width="9.140625" style="143"/>
    <col min="7165" max="7165" width="21.42578125" style="143" customWidth="1"/>
    <col min="7166" max="7166" width="16.85546875" style="143" customWidth="1"/>
    <col min="7167" max="7167" width="104.7109375" style="143" customWidth="1"/>
    <col min="7168" max="7168" width="84.28515625" style="143" customWidth="1"/>
    <col min="7169" max="7169" width="93" style="143" customWidth="1"/>
    <col min="7170" max="7189" width="9.140625" style="143" customWidth="1"/>
    <col min="7190" max="7190" width="75.85546875" style="143" customWidth="1"/>
    <col min="7191" max="7191" width="10.7109375" style="143" customWidth="1"/>
    <col min="7192" max="7192" width="58.5703125" style="143" customWidth="1"/>
    <col min="7193" max="7193" width="50.7109375" style="143" customWidth="1"/>
    <col min="7194" max="7194" width="57.85546875" style="143" customWidth="1"/>
    <col min="7195" max="7195" width="60.85546875" style="143" customWidth="1"/>
    <col min="7196" max="7197" width="57.85546875" style="143" customWidth="1"/>
    <col min="7198" max="7198" width="58.5703125" style="143" customWidth="1"/>
    <col min="7199" max="7199" width="56.42578125" style="143" customWidth="1"/>
    <col min="7200" max="7200" width="50.7109375" style="143" customWidth="1"/>
    <col min="7201" max="7201" width="58.5703125" style="143" customWidth="1"/>
    <col min="7202" max="7202" width="55.7109375" style="143" customWidth="1"/>
    <col min="7203" max="7208" width="50.7109375" style="143" customWidth="1"/>
    <col min="7209" max="7231" width="10.7109375" style="143" customWidth="1"/>
    <col min="7232" max="7420" width="9.140625" style="143"/>
    <col min="7421" max="7421" width="21.42578125" style="143" customWidth="1"/>
    <col min="7422" max="7422" width="16.85546875" style="143" customWidth="1"/>
    <col min="7423" max="7423" width="104.7109375" style="143" customWidth="1"/>
    <col min="7424" max="7424" width="84.28515625" style="143" customWidth="1"/>
    <col min="7425" max="7425" width="93" style="143" customWidth="1"/>
    <col min="7426" max="7445" width="9.140625" style="143" customWidth="1"/>
    <col min="7446" max="7446" width="75.85546875" style="143" customWidth="1"/>
    <col min="7447" max="7447" width="10.7109375" style="143" customWidth="1"/>
    <col min="7448" max="7448" width="58.5703125" style="143" customWidth="1"/>
    <col min="7449" max="7449" width="50.7109375" style="143" customWidth="1"/>
    <col min="7450" max="7450" width="57.85546875" style="143" customWidth="1"/>
    <col min="7451" max="7451" width="60.85546875" style="143" customWidth="1"/>
    <col min="7452" max="7453" width="57.85546875" style="143" customWidth="1"/>
    <col min="7454" max="7454" width="58.5703125" style="143" customWidth="1"/>
    <col min="7455" max="7455" width="56.42578125" style="143" customWidth="1"/>
    <col min="7456" max="7456" width="50.7109375" style="143" customWidth="1"/>
    <col min="7457" max="7457" width="58.5703125" style="143" customWidth="1"/>
    <col min="7458" max="7458" width="55.7109375" style="143" customWidth="1"/>
    <col min="7459" max="7464" width="50.7109375" style="143" customWidth="1"/>
    <col min="7465" max="7487" width="10.7109375" style="143" customWidth="1"/>
    <col min="7488" max="7676" width="9.140625" style="143"/>
    <col min="7677" max="7677" width="21.42578125" style="143" customWidth="1"/>
    <col min="7678" max="7678" width="16.85546875" style="143" customWidth="1"/>
    <col min="7679" max="7679" width="104.7109375" style="143" customWidth="1"/>
    <col min="7680" max="7680" width="84.28515625" style="143" customWidth="1"/>
    <col min="7681" max="7681" width="93" style="143" customWidth="1"/>
    <col min="7682" max="7701" width="9.140625" style="143" customWidth="1"/>
    <col min="7702" max="7702" width="75.85546875" style="143" customWidth="1"/>
    <col min="7703" max="7703" width="10.7109375" style="143" customWidth="1"/>
    <col min="7704" max="7704" width="58.5703125" style="143" customWidth="1"/>
    <col min="7705" max="7705" width="50.7109375" style="143" customWidth="1"/>
    <col min="7706" max="7706" width="57.85546875" style="143" customWidth="1"/>
    <col min="7707" max="7707" width="60.85546875" style="143" customWidth="1"/>
    <col min="7708" max="7709" width="57.85546875" style="143" customWidth="1"/>
    <col min="7710" max="7710" width="58.5703125" style="143" customWidth="1"/>
    <col min="7711" max="7711" width="56.42578125" style="143" customWidth="1"/>
    <col min="7712" max="7712" width="50.7109375" style="143" customWidth="1"/>
    <col min="7713" max="7713" width="58.5703125" style="143" customWidth="1"/>
    <col min="7714" max="7714" width="55.7109375" style="143" customWidth="1"/>
    <col min="7715" max="7720" width="50.7109375" style="143" customWidth="1"/>
    <col min="7721" max="7743" width="10.7109375" style="143" customWidth="1"/>
    <col min="7744" max="7932" width="9.140625" style="143"/>
    <col min="7933" max="7933" width="21.42578125" style="143" customWidth="1"/>
    <col min="7934" max="7934" width="16.85546875" style="143" customWidth="1"/>
    <col min="7935" max="7935" width="104.7109375" style="143" customWidth="1"/>
    <col min="7936" max="7936" width="84.28515625" style="143" customWidth="1"/>
    <col min="7937" max="7937" width="93" style="143" customWidth="1"/>
    <col min="7938" max="7957" width="9.140625" style="143" customWidth="1"/>
    <col min="7958" max="7958" width="75.85546875" style="143" customWidth="1"/>
    <col min="7959" max="7959" width="10.7109375" style="143" customWidth="1"/>
    <col min="7960" max="7960" width="58.5703125" style="143" customWidth="1"/>
    <col min="7961" max="7961" width="50.7109375" style="143" customWidth="1"/>
    <col min="7962" max="7962" width="57.85546875" style="143" customWidth="1"/>
    <col min="7963" max="7963" width="60.85546875" style="143" customWidth="1"/>
    <col min="7964" max="7965" width="57.85546875" style="143" customWidth="1"/>
    <col min="7966" max="7966" width="58.5703125" style="143" customWidth="1"/>
    <col min="7967" max="7967" width="56.42578125" style="143" customWidth="1"/>
    <col min="7968" max="7968" width="50.7109375" style="143" customWidth="1"/>
    <col min="7969" max="7969" width="58.5703125" style="143" customWidth="1"/>
    <col min="7970" max="7970" width="55.7109375" style="143" customWidth="1"/>
    <col min="7971" max="7976" width="50.7109375" style="143" customWidth="1"/>
    <col min="7977" max="7999" width="10.7109375" style="143" customWidth="1"/>
    <col min="8000" max="8188" width="9.140625" style="143"/>
    <col min="8189" max="8189" width="21.42578125" style="143" customWidth="1"/>
    <col min="8190" max="8190" width="16.85546875" style="143" customWidth="1"/>
    <col min="8191" max="8191" width="104.7109375" style="143" customWidth="1"/>
    <col min="8192" max="8192" width="84.28515625" style="143" customWidth="1"/>
    <col min="8193" max="8193" width="93" style="143" customWidth="1"/>
    <col min="8194" max="8213" width="9.140625" style="143" customWidth="1"/>
    <col min="8214" max="8214" width="75.85546875" style="143" customWidth="1"/>
    <col min="8215" max="8215" width="10.7109375" style="143" customWidth="1"/>
    <col min="8216" max="8216" width="58.5703125" style="143" customWidth="1"/>
    <col min="8217" max="8217" width="50.7109375" style="143" customWidth="1"/>
    <col min="8218" max="8218" width="57.85546875" style="143" customWidth="1"/>
    <col min="8219" max="8219" width="60.85546875" style="143" customWidth="1"/>
    <col min="8220" max="8221" width="57.85546875" style="143" customWidth="1"/>
    <col min="8222" max="8222" width="58.5703125" style="143" customWidth="1"/>
    <col min="8223" max="8223" width="56.42578125" style="143" customWidth="1"/>
    <col min="8224" max="8224" width="50.7109375" style="143" customWidth="1"/>
    <col min="8225" max="8225" width="58.5703125" style="143" customWidth="1"/>
    <col min="8226" max="8226" width="55.7109375" style="143" customWidth="1"/>
    <col min="8227" max="8232" width="50.7109375" style="143" customWidth="1"/>
    <col min="8233" max="8255" width="10.7109375" style="143" customWidth="1"/>
    <col min="8256" max="8444" width="9.140625" style="143"/>
    <col min="8445" max="8445" width="21.42578125" style="143" customWidth="1"/>
    <col min="8446" max="8446" width="16.85546875" style="143" customWidth="1"/>
    <col min="8447" max="8447" width="104.7109375" style="143" customWidth="1"/>
    <col min="8448" max="8448" width="84.28515625" style="143" customWidth="1"/>
    <col min="8449" max="8449" width="93" style="143" customWidth="1"/>
    <col min="8450" max="8469" width="9.140625" style="143" customWidth="1"/>
    <col min="8470" max="8470" width="75.85546875" style="143" customWidth="1"/>
    <col min="8471" max="8471" width="10.7109375" style="143" customWidth="1"/>
    <col min="8472" max="8472" width="58.5703125" style="143" customWidth="1"/>
    <col min="8473" max="8473" width="50.7109375" style="143" customWidth="1"/>
    <col min="8474" max="8474" width="57.85546875" style="143" customWidth="1"/>
    <col min="8475" max="8475" width="60.85546875" style="143" customWidth="1"/>
    <col min="8476" max="8477" width="57.85546875" style="143" customWidth="1"/>
    <col min="8478" max="8478" width="58.5703125" style="143" customWidth="1"/>
    <col min="8479" max="8479" width="56.42578125" style="143" customWidth="1"/>
    <col min="8480" max="8480" width="50.7109375" style="143" customWidth="1"/>
    <col min="8481" max="8481" width="58.5703125" style="143" customWidth="1"/>
    <col min="8482" max="8482" width="55.7109375" style="143" customWidth="1"/>
    <col min="8483" max="8488" width="50.7109375" style="143" customWidth="1"/>
    <col min="8489" max="8511" width="10.7109375" style="143" customWidth="1"/>
    <col min="8512" max="8700" width="9.140625" style="143"/>
    <col min="8701" max="8701" width="21.42578125" style="143" customWidth="1"/>
    <col min="8702" max="8702" width="16.85546875" style="143" customWidth="1"/>
    <col min="8703" max="8703" width="104.7109375" style="143" customWidth="1"/>
    <col min="8704" max="8704" width="84.28515625" style="143" customWidth="1"/>
    <col min="8705" max="8705" width="93" style="143" customWidth="1"/>
    <col min="8706" max="8725" width="9.140625" style="143" customWidth="1"/>
    <col min="8726" max="8726" width="75.85546875" style="143" customWidth="1"/>
    <col min="8727" max="8727" width="10.7109375" style="143" customWidth="1"/>
    <col min="8728" max="8728" width="58.5703125" style="143" customWidth="1"/>
    <col min="8729" max="8729" width="50.7109375" style="143" customWidth="1"/>
    <col min="8730" max="8730" width="57.85546875" style="143" customWidth="1"/>
    <col min="8731" max="8731" width="60.85546875" style="143" customWidth="1"/>
    <col min="8732" max="8733" width="57.85546875" style="143" customWidth="1"/>
    <col min="8734" max="8734" width="58.5703125" style="143" customWidth="1"/>
    <col min="8735" max="8735" width="56.42578125" style="143" customWidth="1"/>
    <col min="8736" max="8736" width="50.7109375" style="143" customWidth="1"/>
    <col min="8737" max="8737" width="58.5703125" style="143" customWidth="1"/>
    <col min="8738" max="8738" width="55.7109375" style="143" customWidth="1"/>
    <col min="8739" max="8744" width="50.7109375" style="143" customWidth="1"/>
    <col min="8745" max="8767" width="10.7109375" style="143" customWidth="1"/>
    <col min="8768" max="8956" width="9.140625" style="143"/>
    <col min="8957" max="8957" width="21.42578125" style="143" customWidth="1"/>
    <col min="8958" max="8958" width="16.85546875" style="143" customWidth="1"/>
    <col min="8959" max="8959" width="104.7109375" style="143" customWidth="1"/>
    <col min="8960" max="8960" width="84.28515625" style="143" customWidth="1"/>
    <col min="8961" max="8961" width="93" style="143" customWidth="1"/>
    <col min="8962" max="8981" width="9.140625" style="143" customWidth="1"/>
    <col min="8982" max="8982" width="75.85546875" style="143" customWidth="1"/>
    <col min="8983" max="8983" width="10.7109375" style="143" customWidth="1"/>
    <col min="8984" max="8984" width="58.5703125" style="143" customWidth="1"/>
    <col min="8985" max="8985" width="50.7109375" style="143" customWidth="1"/>
    <col min="8986" max="8986" width="57.85546875" style="143" customWidth="1"/>
    <col min="8987" max="8987" width="60.85546875" style="143" customWidth="1"/>
    <col min="8988" max="8989" width="57.85546875" style="143" customWidth="1"/>
    <col min="8990" max="8990" width="58.5703125" style="143" customWidth="1"/>
    <col min="8991" max="8991" width="56.42578125" style="143" customWidth="1"/>
    <col min="8992" max="8992" width="50.7109375" style="143" customWidth="1"/>
    <col min="8993" max="8993" width="58.5703125" style="143" customWidth="1"/>
    <col min="8994" max="8994" width="55.7109375" style="143" customWidth="1"/>
    <col min="8995" max="9000" width="50.7109375" style="143" customWidth="1"/>
    <col min="9001" max="9023" width="10.7109375" style="143" customWidth="1"/>
    <col min="9024" max="9212" width="9.140625" style="143"/>
    <col min="9213" max="9213" width="21.42578125" style="143" customWidth="1"/>
    <col min="9214" max="9214" width="16.85546875" style="143" customWidth="1"/>
    <col min="9215" max="9215" width="104.7109375" style="143" customWidth="1"/>
    <col min="9216" max="9216" width="84.28515625" style="143" customWidth="1"/>
    <col min="9217" max="9217" width="93" style="143" customWidth="1"/>
    <col min="9218" max="9237" width="9.140625" style="143" customWidth="1"/>
    <col min="9238" max="9238" width="75.85546875" style="143" customWidth="1"/>
    <col min="9239" max="9239" width="10.7109375" style="143" customWidth="1"/>
    <col min="9240" max="9240" width="58.5703125" style="143" customWidth="1"/>
    <col min="9241" max="9241" width="50.7109375" style="143" customWidth="1"/>
    <col min="9242" max="9242" width="57.85546875" style="143" customWidth="1"/>
    <col min="9243" max="9243" width="60.85546875" style="143" customWidth="1"/>
    <col min="9244" max="9245" width="57.85546875" style="143" customWidth="1"/>
    <col min="9246" max="9246" width="58.5703125" style="143" customWidth="1"/>
    <col min="9247" max="9247" width="56.42578125" style="143" customWidth="1"/>
    <col min="9248" max="9248" width="50.7109375" style="143" customWidth="1"/>
    <col min="9249" max="9249" width="58.5703125" style="143" customWidth="1"/>
    <col min="9250" max="9250" width="55.7109375" style="143" customWidth="1"/>
    <col min="9251" max="9256" width="50.7109375" style="143" customWidth="1"/>
    <col min="9257" max="9279" width="10.7109375" style="143" customWidth="1"/>
    <col min="9280" max="9468" width="9.140625" style="143"/>
    <col min="9469" max="9469" width="21.42578125" style="143" customWidth="1"/>
    <col min="9470" max="9470" width="16.85546875" style="143" customWidth="1"/>
    <col min="9471" max="9471" width="104.7109375" style="143" customWidth="1"/>
    <col min="9472" max="9472" width="84.28515625" style="143" customWidth="1"/>
    <col min="9473" max="9473" width="93" style="143" customWidth="1"/>
    <col min="9474" max="9493" width="9.140625" style="143" customWidth="1"/>
    <col min="9494" max="9494" width="75.85546875" style="143" customWidth="1"/>
    <col min="9495" max="9495" width="10.7109375" style="143" customWidth="1"/>
    <col min="9496" max="9496" width="58.5703125" style="143" customWidth="1"/>
    <col min="9497" max="9497" width="50.7109375" style="143" customWidth="1"/>
    <col min="9498" max="9498" width="57.85546875" style="143" customWidth="1"/>
    <col min="9499" max="9499" width="60.85546875" style="143" customWidth="1"/>
    <col min="9500" max="9501" width="57.85546875" style="143" customWidth="1"/>
    <col min="9502" max="9502" width="58.5703125" style="143" customWidth="1"/>
    <col min="9503" max="9503" width="56.42578125" style="143" customWidth="1"/>
    <col min="9504" max="9504" width="50.7109375" style="143" customWidth="1"/>
    <col min="9505" max="9505" width="58.5703125" style="143" customWidth="1"/>
    <col min="9506" max="9506" width="55.7109375" style="143" customWidth="1"/>
    <col min="9507" max="9512" width="50.7109375" style="143" customWidth="1"/>
    <col min="9513" max="9535" width="10.7109375" style="143" customWidth="1"/>
    <col min="9536" max="9724" width="9.140625" style="143"/>
    <col min="9725" max="9725" width="21.42578125" style="143" customWidth="1"/>
    <col min="9726" max="9726" width="16.85546875" style="143" customWidth="1"/>
    <col min="9727" max="9727" width="104.7109375" style="143" customWidth="1"/>
    <col min="9728" max="9728" width="84.28515625" style="143" customWidth="1"/>
    <col min="9729" max="9729" width="93" style="143" customWidth="1"/>
    <col min="9730" max="9749" width="9.140625" style="143" customWidth="1"/>
    <col min="9750" max="9750" width="75.85546875" style="143" customWidth="1"/>
    <col min="9751" max="9751" width="10.7109375" style="143" customWidth="1"/>
    <col min="9752" max="9752" width="58.5703125" style="143" customWidth="1"/>
    <col min="9753" max="9753" width="50.7109375" style="143" customWidth="1"/>
    <col min="9754" max="9754" width="57.85546875" style="143" customWidth="1"/>
    <col min="9755" max="9755" width="60.85546875" style="143" customWidth="1"/>
    <col min="9756" max="9757" width="57.85546875" style="143" customWidth="1"/>
    <col min="9758" max="9758" width="58.5703125" style="143" customWidth="1"/>
    <col min="9759" max="9759" width="56.42578125" style="143" customWidth="1"/>
    <col min="9760" max="9760" width="50.7109375" style="143" customWidth="1"/>
    <col min="9761" max="9761" width="58.5703125" style="143" customWidth="1"/>
    <col min="9762" max="9762" width="55.7109375" style="143" customWidth="1"/>
    <col min="9763" max="9768" width="50.7109375" style="143" customWidth="1"/>
    <col min="9769" max="9791" width="10.7109375" style="143" customWidth="1"/>
    <col min="9792" max="9980" width="9.140625" style="143"/>
    <col min="9981" max="9981" width="21.42578125" style="143" customWidth="1"/>
    <col min="9982" max="9982" width="16.85546875" style="143" customWidth="1"/>
    <col min="9983" max="9983" width="104.7109375" style="143" customWidth="1"/>
    <col min="9984" max="9984" width="84.28515625" style="143" customWidth="1"/>
    <col min="9985" max="9985" width="93" style="143" customWidth="1"/>
    <col min="9986" max="10005" width="9.140625" style="143" customWidth="1"/>
    <col min="10006" max="10006" width="75.85546875" style="143" customWidth="1"/>
    <col min="10007" max="10007" width="10.7109375" style="143" customWidth="1"/>
    <col min="10008" max="10008" width="58.5703125" style="143" customWidth="1"/>
    <col min="10009" max="10009" width="50.7109375" style="143" customWidth="1"/>
    <col min="10010" max="10010" width="57.85546875" style="143" customWidth="1"/>
    <col min="10011" max="10011" width="60.85546875" style="143" customWidth="1"/>
    <col min="10012" max="10013" width="57.85546875" style="143" customWidth="1"/>
    <col min="10014" max="10014" width="58.5703125" style="143" customWidth="1"/>
    <col min="10015" max="10015" width="56.42578125" style="143" customWidth="1"/>
    <col min="10016" max="10016" width="50.7109375" style="143" customWidth="1"/>
    <col min="10017" max="10017" width="58.5703125" style="143" customWidth="1"/>
    <col min="10018" max="10018" width="55.7109375" style="143" customWidth="1"/>
    <col min="10019" max="10024" width="50.7109375" style="143" customWidth="1"/>
    <col min="10025" max="10047" width="10.7109375" style="143" customWidth="1"/>
    <col min="10048" max="10236" width="9.140625" style="143"/>
    <col min="10237" max="10237" width="21.42578125" style="143" customWidth="1"/>
    <col min="10238" max="10238" width="16.85546875" style="143" customWidth="1"/>
    <col min="10239" max="10239" width="104.7109375" style="143" customWidth="1"/>
    <col min="10240" max="10240" width="84.28515625" style="143" customWidth="1"/>
    <col min="10241" max="10241" width="93" style="143" customWidth="1"/>
    <col min="10242" max="10261" width="9.140625" style="143" customWidth="1"/>
    <col min="10262" max="10262" width="75.85546875" style="143" customWidth="1"/>
    <col min="10263" max="10263" width="10.7109375" style="143" customWidth="1"/>
    <col min="10264" max="10264" width="58.5703125" style="143" customWidth="1"/>
    <col min="10265" max="10265" width="50.7109375" style="143" customWidth="1"/>
    <col min="10266" max="10266" width="57.85546875" style="143" customWidth="1"/>
    <col min="10267" max="10267" width="60.85546875" style="143" customWidth="1"/>
    <col min="10268" max="10269" width="57.85546875" style="143" customWidth="1"/>
    <col min="10270" max="10270" width="58.5703125" style="143" customWidth="1"/>
    <col min="10271" max="10271" width="56.42578125" style="143" customWidth="1"/>
    <col min="10272" max="10272" width="50.7109375" style="143" customWidth="1"/>
    <col min="10273" max="10273" width="58.5703125" style="143" customWidth="1"/>
    <col min="10274" max="10274" width="55.7109375" style="143" customWidth="1"/>
    <col min="10275" max="10280" width="50.7109375" style="143" customWidth="1"/>
    <col min="10281" max="10303" width="10.7109375" style="143" customWidth="1"/>
    <col min="10304" max="10492" width="9.140625" style="143"/>
    <col min="10493" max="10493" width="21.42578125" style="143" customWidth="1"/>
    <col min="10494" max="10494" width="16.85546875" style="143" customWidth="1"/>
    <col min="10495" max="10495" width="104.7109375" style="143" customWidth="1"/>
    <col min="10496" max="10496" width="84.28515625" style="143" customWidth="1"/>
    <col min="10497" max="10497" width="93" style="143" customWidth="1"/>
    <col min="10498" max="10517" width="9.140625" style="143" customWidth="1"/>
    <col min="10518" max="10518" width="75.85546875" style="143" customWidth="1"/>
    <col min="10519" max="10519" width="10.7109375" style="143" customWidth="1"/>
    <col min="10520" max="10520" width="58.5703125" style="143" customWidth="1"/>
    <col min="10521" max="10521" width="50.7109375" style="143" customWidth="1"/>
    <col min="10522" max="10522" width="57.85546875" style="143" customWidth="1"/>
    <col min="10523" max="10523" width="60.85546875" style="143" customWidth="1"/>
    <col min="10524" max="10525" width="57.85546875" style="143" customWidth="1"/>
    <col min="10526" max="10526" width="58.5703125" style="143" customWidth="1"/>
    <col min="10527" max="10527" width="56.42578125" style="143" customWidth="1"/>
    <col min="10528" max="10528" width="50.7109375" style="143" customWidth="1"/>
    <col min="10529" max="10529" width="58.5703125" style="143" customWidth="1"/>
    <col min="10530" max="10530" width="55.7109375" style="143" customWidth="1"/>
    <col min="10531" max="10536" width="50.7109375" style="143" customWidth="1"/>
    <col min="10537" max="10559" width="10.7109375" style="143" customWidth="1"/>
    <col min="10560" max="10748" width="9.140625" style="143"/>
    <col min="10749" max="10749" width="21.42578125" style="143" customWidth="1"/>
    <col min="10750" max="10750" width="16.85546875" style="143" customWidth="1"/>
    <col min="10751" max="10751" width="104.7109375" style="143" customWidth="1"/>
    <col min="10752" max="10752" width="84.28515625" style="143" customWidth="1"/>
    <col min="10753" max="10753" width="93" style="143" customWidth="1"/>
    <col min="10754" max="10773" width="9.140625" style="143" customWidth="1"/>
    <col min="10774" max="10774" width="75.85546875" style="143" customWidth="1"/>
    <col min="10775" max="10775" width="10.7109375" style="143" customWidth="1"/>
    <col min="10776" max="10776" width="58.5703125" style="143" customWidth="1"/>
    <col min="10777" max="10777" width="50.7109375" style="143" customWidth="1"/>
    <col min="10778" max="10778" width="57.85546875" style="143" customWidth="1"/>
    <col min="10779" max="10779" width="60.85546875" style="143" customWidth="1"/>
    <col min="10780" max="10781" width="57.85546875" style="143" customWidth="1"/>
    <col min="10782" max="10782" width="58.5703125" style="143" customWidth="1"/>
    <col min="10783" max="10783" width="56.42578125" style="143" customWidth="1"/>
    <col min="10784" max="10784" width="50.7109375" style="143" customWidth="1"/>
    <col min="10785" max="10785" width="58.5703125" style="143" customWidth="1"/>
    <col min="10786" max="10786" width="55.7109375" style="143" customWidth="1"/>
    <col min="10787" max="10792" width="50.7109375" style="143" customWidth="1"/>
    <col min="10793" max="10815" width="10.7109375" style="143" customWidth="1"/>
    <col min="10816" max="11004" width="9.140625" style="143"/>
    <col min="11005" max="11005" width="21.42578125" style="143" customWidth="1"/>
    <col min="11006" max="11006" width="16.85546875" style="143" customWidth="1"/>
    <col min="11007" max="11007" width="104.7109375" style="143" customWidth="1"/>
    <col min="11008" max="11008" width="84.28515625" style="143" customWidth="1"/>
    <col min="11009" max="11009" width="93" style="143" customWidth="1"/>
    <col min="11010" max="11029" width="9.140625" style="143" customWidth="1"/>
    <col min="11030" max="11030" width="75.85546875" style="143" customWidth="1"/>
    <col min="11031" max="11031" width="10.7109375" style="143" customWidth="1"/>
    <col min="11032" max="11032" width="58.5703125" style="143" customWidth="1"/>
    <col min="11033" max="11033" width="50.7109375" style="143" customWidth="1"/>
    <col min="11034" max="11034" width="57.85546875" style="143" customWidth="1"/>
    <col min="11035" max="11035" width="60.85546875" style="143" customWidth="1"/>
    <col min="11036" max="11037" width="57.85546875" style="143" customWidth="1"/>
    <col min="11038" max="11038" width="58.5703125" style="143" customWidth="1"/>
    <col min="11039" max="11039" width="56.42578125" style="143" customWidth="1"/>
    <col min="11040" max="11040" width="50.7109375" style="143" customWidth="1"/>
    <col min="11041" max="11041" width="58.5703125" style="143" customWidth="1"/>
    <col min="11042" max="11042" width="55.7109375" style="143" customWidth="1"/>
    <col min="11043" max="11048" width="50.7109375" style="143" customWidth="1"/>
    <col min="11049" max="11071" width="10.7109375" style="143" customWidth="1"/>
    <col min="11072" max="11260" width="9.140625" style="143"/>
    <col min="11261" max="11261" width="21.42578125" style="143" customWidth="1"/>
    <col min="11262" max="11262" width="16.85546875" style="143" customWidth="1"/>
    <col min="11263" max="11263" width="104.7109375" style="143" customWidth="1"/>
    <col min="11264" max="11264" width="84.28515625" style="143" customWidth="1"/>
    <col min="11265" max="11265" width="93" style="143" customWidth="1"/>
    <col min="11266" max="11285" width="9.140625" style="143" customWidth="1"/>
    <col min="11286" max="11286" width="75.85546875" style="143" customWidth="1"/>
    <col min="11287" max="11287" width="10.7109375" style="143" customWidth="1"/>
    <col min="11288" max="11288" width="58.5703125" style="143" customWidth="1"/>
    <col min="11289" max="11289" width="50.7109375" style="143" customWidth="1"/>
    <col min="11290" max="11290" width="57.85546875" style="143" customWidth="1"/>
    <col min="11291" max="11291" width="60.85546875" style="143" customWidth="1"/>
    <col min="11292" max="11293" width="57.85546875" style="143" customWidth="1"/>
    <col min="11294" max="11294" width="58.5703125" style="143" customWidth="1"/>
    <col min="11295" max="11295" width="56.42578125" style="143" customWidth="1"/>
    <col min="11296" max="11296" width="50.7109375" style="143" customWidth="1"/>
    <col min="11297" max="11297" width="58.5703125" style="143" customWidth="1"/>
    <col min="11298" max="11298" width="55.7109375" style="143" customWidth="1"/>
    <col min="11299" max="11304" width="50.7109375" style="143" customWidth="1"/>
    <col min="11305" max="11327" width="10.7109375" style="143" customWidth="1"/>
    <col min="11328" max="11516" width="9.140625" style="143"/>
    <col min="11517" max="11517" width="21.42578125" style="143" customWidth="1"/>
    <col min="11518" max="11518" width="16.85546875" style="143" customWidth="1"/>
    <col min="11519" max="11519" width="104.7109375" style="143" customWidth="1"/>
    <col min="11520" max="11520" width="84.28515625" style="143" customWidth="1"/>
    <col min="11521" max="11521" width="93" style="143" customWidth="1"/>
    <col min="11522" max="11541" width="9.140625" style="143" customWidth="1"/>
    <col min="11542" max="11542" width="75.85546875" style="143" customWidth="1"/>
    <col min="11543" max="11543" width="10.7109375" style="143" customWidth="1"/>
    <col min="11544" max="11544" width="58.5703125" style="143" customWidth="1"/>
    <col min="11545" max="11545" width="50.7109375" style="143" customWidth="1"/>
    <col min="11546" max="11546" width="57.85546875" style="143" customWidth="1"/>
    <col min="11547" max="11547" width="60.85546875" style="143" customWidth="1"/>
    <col min="11548" max="11549" width="57.85546875" style="143" customWidth="1"/>
    <col min="11550" max="11550" width="58.5703125" style="143" customWidth="1"/>
    <col min="11551" max="11551" width="56.42578125" style="143" customWidth="1"/>
    <col min="11552" max="11552" width="50.7109375" style="143" customWidth="1"/>
    <col min="11553" max="11553" width="58.5703125" style="143" customWidth="1"/>
    <col min="11554" max="11554" width="55.7109375" style="143" customWidth="1"/>
    <col min="11555" max="11560" width="50.7109375" style="143" customWidth="1"/>
    <col min="11561" max="11583" width="10.7109375" style="143" customWidth="1"/>
    <col min="11584" max="11772" width="9.140625" style="143"/>
    <col min="11773" max="11773" width="21.42578125" style="143" customWidth="1"/>
    <col min="11774" max="11774" width="16.85546875" style="143" customWidth="1"/>
    <col min="11775" max="11775" width="104.7109375" style="143" customWidth="1"/>
    <col min="11776" max="11776" width="84.28515625" style="143" customWidth="1"/>
    <col min="11777" max="11777" width="93" style="143" customWidth="1"/>
    <col min="11778" max="11797" width="9.140625" style="143" customWidth="1"/>
    <col min="11798" max="11798" width="75.85546875" style="143" customWidth="1"/>
    <col min="11799" max="11799" width="10.7109375" style="143" customWidth="1"/>
    <col min="11800" max="11800" width="58.5703125" style="143" customWidth="1"/>
    <col min="11801" max="11801" width="50.7109375" style="143" customWidth="1"/>
    <col min="11802" max="11802" width="57.85546875" style="143" customWidth="1"/>
    <col min="11803" max="11803" width="60.85546875" style="143" customWidth="1"/>
    <col min="11804" max="11805" width="57.85546875" style="143" customWidth="1"/>
    <col min="11806" max="11806" width="58.5703125" style="143" customWidth="1"/>
    <col min="11807" max="11807" width="56.42578125" style="143" customWidth="1"/>
    <col min="11808" max="11808" width="50.7109375" style="143" customWidth="1"/>
    <col min="11809" max="11809" width="58.5703125" style="143" customWidth="1"/>
    <col min="11810" max="11810" width="55.7109375" style="143" customWidth="1"/>
    <col min="11811" max="11816" width="50.7109375" style="143" customWidth="1"/>
    <col min="11817" max="11839" width="10.7109375" style="143" customWidth="1"/>
    <col min="11840" max="12028" width="9.140625" style="143"/>
    <col min="12029" max="12029" width="21.42578125" style="143" customWidth="1"/>
    <col min="12030" max="12030" width="16.85546875" style="143" customWidth="1"/>
    <col min="12031" max="12031" width="104.7109375" style="143" customWidth="1"/>
    <col min="12032" max="12032" width="84.28515625" style="143" customWidth="1"/>
    <col min="12033" max="12033" width="93" style="143" customWidth="1"/>
    <col min="12034" max="12053" width="9.140625" style="143" customWidth="1"/>
    <col min="12054" max="12054" width="75.85546875" style="143" customWidth="1"/>
    <col min="12055" max="12055" width="10.7109375" style="143" customWidth="1"/>
    <col min="12056" max="12056" width="58.5703125" style="143" customWidth="1"/>
    <col min="12057" max="12057" width="50.7109375" style="143" customWidth="1"/>
    <col min="12058" max="12058" width="57.85546875" style="143" customWidth="1"/>
    <col min="12059" max="12059" width="60.85546875" style="143" customWidth="1"/>
    <col min="12060" max="12061" width="57.85546875" style="143" customWidth="1"/>
    <col min="12062" max="12062" width="58.5703125" style="143" customWidth="1"/>
    <col min="12063" max="12063" width="56.42578125" style="143" customWidth="1"/>
    <col min="12064" max="12064" width="50.7109375" style="143" customWidth="1"/>
    <col min="12065" max="12065" width="58.5703125" style="143" customWidth="1"/>
    <col min="12066" max="12066" width="55.7109375" style="143" customWidth="1"/>
    <col min="12067" max="12072" width="50.7109375" style="143" customWidth="1"/>
    <col min="12073" max="12095" width="10.7109375" style="143" customWidth="1"/>
    <col min="12096" max="12284" width="9.140625" style="143"/>
    <col min="12285" max="12285" width="21.42578125" style="143" customWidth="1"/>
    <col min="12286" max="12286" width="16.85546875" style="143" customWidth="1"/>
    <col min="12287" max="12287" width="104.7109375" style="143" customWidth="1"/>
    <col min="12288" max="12288" width="84.28515625" style="143" customWidth="1"/>
    <col min="12289" max="12289" width="93" style="143" customWidth="1"/>
    <col min="12290" max="12309" width="9.140625" style="143" customWidth="1"/>
    <col min="12310" max="12310" width="75.85546875" style="143" customWidth="1"/>
    <col min="12311" max="12311" width="10.7109375" style="143" customWidth="1"/>
    <col min="12312" max="12312" width="58.5703125" style="143" customWidth="1"/>
    <col min="12313" max="12313" width="50.7109375" style="143" customWidth="1"/>
    <col min="12314" max="12314" width="57.85546875" style="143" customWidth="1"/>
    <col min="12315" max="12315" width="60.85546875" style="143" customWidth="1"/>
    <col min="12316" max="12317" width="57.85546875" style="143" customWidth="1"/>
    <col min="12318" max="12318" width="58.5703125" style="143" customWidth="1"/>
    <col min="12319" max="12319" width="56.42578125" style="143" customWidth="1"/>
    <col min="12320" max="12320" width="50.7109375" style="143" customWidth="1"/>
    <col min="12321" max="12321" width="58.5703125" style="143" customWidth="1"/>
    <col min="12322" max="12322" width="55.7109375" style="143" customWidth="1"/>
    <col min="12323" max="12328" width="50.7109375" style="143" customWidth="1"/>
    <col min="12329" max="12351" width="10.7109375" style="143" customWidth="1"/>
    <col min="12352" max="12540" width="9.140625" style="143"/>
    <col min="12541" max="12541" width="21.42578125" style="143" customWidth="1"/>
    <col min="12542" max="12542" width="16.85546875" style="143" customWidth="1"/>
    <col min="12543" max="12543" width="104.7109375" style="143" customWidth="1"/>
    <col min="12544" max="12544" width="84.28515625" style="143" customWidth="1"/>
    <col min="12545" max="12545" width="93" style="143" customWidth="1"/>
    <col min="12546" max="12565" width="9.140625" style="143" customWidth="1"/>
    <col min="12566" max="12566" width="75.85546875" style="143" customWidth="1"/>
    <col min="12567" max="12567" width="10.7109375" style="143" customWidth="1"/>
    <col min="12568" max="12568" width="58.5703125" style="143" customWidth="1"/>
    <col min="12569" max="12569" width="50.7109375" style="143" customWidth="1"/>
    <col min="12570" max="12570" width="57.85546875" style="143" customWidth="1"/>
    <col min="12571" max="12571" width="60.85546875" style="143" customWidth="1"/>
    <col min="12572" max="12573" width="57.85546875" style="143" customWidth="1"/>
    <col min="12574" max="12574" width="58.5703125" style="143" customWidth="1"/>
    <col min="12575" max="12575" width="56.42578125" style="143" customWidth="1"/>
    <col min="12576" max="12576" width="50.7109375" style="143" customWidth="1"/>
    <col min="12577" max="12577" width="58.5703125" style="143" customWidth="1"/>
    <col min="12578" max="12578" width="55.7109375" style="143" customWidth="1"/>
    <col min="12579" max="12584" width="50.7109375" style="143" customWidth="1"/>
    <col min="12585" max="12607" width="10.7109375" style="143" customWidth="1"/>
    <col min="12608" max="12796" width="9.140625" style="143"/>
    <col min="12797" max="12797" width="21.42578125" style="143" customWidth="1"/>
    <col min="12798" max="12798" width="16.85546875" style="143" customWidth="1"/>
    <col min="12799" max="12799" width="104.7109375" style="143" customWidth="1"/>
    <col min="12800" max="12800" width="84.28515625" style="143" customWidth="1"/>
    <col min="12801" max="12801" width="93" style="143" customWidth="1"/>
    <col min="12802" max="12821" width="9.140625" style="143" customWidth="1"/>
    <col min="12822" max="12822" width="75.85546875" style="143" customWidth="1"/>
    <col min="12823" max="12823" width="10.7109375" style="143" customWidth="1"/>
    <col min="12824" max="12824" width="58.5703125" style="143" customWidth="1"/>
    <col min="12825" max="12825" width="50.7109375" style="143" customWidth="1"/>
    <col min="12826" max="12826" width="57.85546875" style="143" customWidth="1"/>
    <col min="12827" max="12827" width="60.85546875" style="143" customWidth="1"/>
    <col min="12828" max="12829" width="57.85546875" style="143" customWidth="1"/>
    <col min="12830" max="12830" width="58.5703125" style="143" customWidth="1"/>
    <col min="12831" max="12831" width="56.42578125" style="143" customWidth="1"/>
    <col min="12832" max="12832" width="50.7109375" style="143" customWidth="1"/>
    <col min="12833" max="12833" width="58.5703125" style="143" customWidth="1"/>
    <col min="12834" max="12834" width="55.7109375" style="143" customWidth="1"/>
    <col min="12835" max="12840" width="50.7109375" style="143" customWidth="1"/>
    <col min="12841" max="12863" width="10.7109375" style="143" customWidth="1"/>
    <col min="12864" max="13052" width="9.140625" style="143"/>
    <col min="13053" max="13053" width="21.42578125" style="143" customWidth="1"/>
    <col min="13054" max="13054" width="16.85546875" style="143" customWidth="1"/>
    <col min="13055" max="13055" width="104.7109375" style="143" customWidth="1"/>
    <col min="13056" max="13056" width="84.28515625" style="143" customWidth="1"/>
    <col min="13057" max="13057" width="93" style="143" customWidth="1"/>
    <col min="13058" max="13077" width="9.140625" style="143" customWidth="1"/>
    <col min="13078" max="13078" width="75.85546875" style="143" customWidth="1"/>
    <col min="13079" max="13079" width="10.7109375" style="143" customWidth="1"/>
    <col min="13080" max="13080" width="58.5703125" style="143" customWidth="1"/>
    <col min="13081" max="13081" width="50.7109375" style="143" customWidth="1"/>
    <col min="13082" max="13082" width="57.85546875" style="143" customWidth="1"/>
    <col min="13083" max="13083" width="60.85546875" style="143" customWidth="1"/>
    <col min="13084" max="13085" width="57.85546875" style="143" customWidth="1"/>
    <col min="13086" max="13086" width="58.5703125" style="143" customWidth="1"/>
    <col min="13087" max="13087" width="56.42578125" style="143" customWidth="1"/>
    <col min="13088" max="13088" width="50.7109375" style="143" customWidth="1"/>
    <col min="13089" max="13089" width="58.5703125" style="143" customWidth="1"/>
    <col min="13090" max="13090" width="55.7109375" style="143" customWidth="1"/>
    <col min="13091" max="13096" width="50.7109375" style="143" customWidth="1"/>
    <col min="13097" max="13119" width="10.7109375" style="143" customWidth="1"/>
    <col min="13120" max="13308" width="9.140625" style="143"/>
    <col min="13309" max="13309" width="21.42578125" style="143" customWidth="1"/>
    <col min="13310" max="13310" width="16.85546875" style="143" customWidth="1"/>
    <col min="13311" max="13311" width="104.7109375" style="143" customWidth="1"/>
    <col min="13312" max="13312" width="84.28515625" style="143" customWidth="1"/>
    <col min="13313" max="13313" width="93" style="143" customWidth="1"/>
    <col min="13314" max="13333" width="9.140625" style="143" customWidth="1"/>
    <col min="13334" max="13334" width="75.85546875" style="143" customWidth="1"/>
    <col min="13335" max="13335" width="10.7109375" style="143" customWidth="1"/>
    <col min="13336" max="13336" width="58.5703125" style="143" customWidth="1"/>
    <col min="13337" max="13337" width="50.7109375" style="143" customWidth="1"/>
    <col min="13338" max="13338" width="57.85546875" style="143" customWidth="1"/>
    <col min="13339" max="13339" width="60.85546875" style="143" customWidth="1"/>
    <col min="13340" max="13341" width="57.85546875" style="143" customWidth="1"/>
    <col min="13342" max="13342" width="58.5703125" style="143" customWidth="1"/>
    <col min="13343" max="13343" width="56.42578125" style="143" customWidth="1"/>
    <col min="13344" max="13344" width="50.7109375" style="143" customWidth="1"/>
    <col min="13345" max="13345" width="58.5703125" style="143" customWidth="1"/>
    <col min="13346" max="13346" width="55.7109375" style="143" customWidth="1"/>
    <col min="13347" max="13352" width="50.7109375" style="143" customWidth="1"/>
    <col min="13353" max="13375" width="10.7109375" style="143" customWidth="1"/>
    <col min="13376" max="13564" width="9.140625" style="143"/>
    <col min="13565" max="13565" width="21.42578125" style="143" customWidth="1"/>
    <col min="13566" max="13566" width="16.85546875" style="143" customWidth="1"/>
    <col min="13567" max="13567" width="104.7109375" style="143" customWidth="1"/>
    <col min="13568" max="13568" width="84.28515625" style="143" customWidth="1"/>
    <col min="13569" max="13569" width="93" style="143" customWidth="1"/>
    <col min="13570" max="13589" width="9.140625" style="143" customWidth="1"/>
    <col min="13590" max="13590" width="75.85546875" style="143" customWidth="1"/>
    <col min="13591" max="13591" width="10.7109375" style="143" customWidth="1"/>
    <col min="13592" max="13592" width="58.5703125" style="143" customWidth="1"/>
    <col min="13593" max="13593" width="50.7109375" style="143" customWidth="1"/>
    <col min="13594" max="13594" width="57.85546875" style="143" customWidth="1"/>
    <col min="13595" max="13595" width="60.85546875" style="143" customWidth="1"/>
    <col min="13596" max="13597" width="57.85546875" style="143" customWidth="1"/>
    <col min="13598" max="13598" width="58.5703125" style="143" customWidth="1"/>
    <col min="13599" max="13599" width="56.42578125" style="143" customWidth="1"/>
    <col min="13600" max="13600" width="50.7109375" style="143" customWidth="1"/>
    <col min="13601" max="13601" width="58.5703125" style="143" customWidth="1"/>
    <col min="13602" max="13602" width="55.7109375" style="143" customWidth="1"/>
    <col min="13603" max="13608" width="50.7109375" style="143" customWidth="1"/>
    <col min="13609" max="13631" width="10.7109375" style="143" customWidth="1"/>
    <col min="13632" max="13820" width="9.140625" style="143"/>
    <col min="13821" max="13821" width="21.42578125" style="143" customWidth="1"/>
    <col min="13822" max="13822" width="16.85546875" style="143" customWidth="1"/>
    <col min="13823" max="13823" width="104.7109375" style="143" customWidth="1"/>
    <col min="13824" max="13824" width="84.28515625" style="143" customWidth="1"/>
    <col min="13825" max="13825" width="93" style="143" customWidth="1"/>
    <col min="13826" max="13845" width="9.140625" style="143" customWidth="1"/>
    <col min="13846" max="13846" width="75.85546875" style="143" customWidth="1"/>
    <col min="13847" max="13847" width="10.7109375" style="143" customWidth="1"/>
    <col min="13848" max="13848" width="58.5703125" style="143" customWidth="1"/>
    <col min="13849" max="13849" width="50.7109375" style="143" customWidth="1"/>
    <col min="13850" max="13850" width="57.85546875" style="143" customWidth="1"/>
    <col min="13851" max="13851" width="60.85546875" style="143" customWidth="1"/>
    <col min="13852" max="13853" width="57.85546875" style="143" customWidth="1"/>
    <col min="13854" max="13854" width="58.5703125" style="143" customWidth="1"/>
    <col min="13855" max="13855" width="56.42578125" style="143" customWidth="1"/>
    <col min="13856" max="13856" width="50.7109375" style="143" customWidth="1"/>
    <col min="13857" max="13857" width="58.5703125" style="143" customWidth="1"/>
    <col min="13858" max="13858" width="55.7109375" style="143" customWidth="1"/>
    <col min="13859" max="13864" width="50.7109375" style="143" customWidth="1"/>
    <col min="13865" max="13887" width="10.7109375" style="143" customWidth="1"/>
    <col min="13888" max="14076" width="9.140625" style="143"/>
    <col min="14077" max="14077" width="21.42578125" style="143" customWidth="1"/>
    <col min="14078" max="14078" width="16.85546875" style="143" customWidth="1"/>
    <col min="14079" max="14079" width="104.7109375" style="143" customWidth="1"/>
    <col min="14080" max="14080" width="84.28515625" style="143" customWidth="1"/>
    <col min="14081" max="14081" width="93" style="143" customWidth="1"/>
    <col min="14082" max="14101" width="9.140625" style="143" customWidth="1"/>
    <col min="14102" max="14102" width="75.85546875" style="143" customWidth="1"/>
    <col min="14103" max="14103" width="10.7109375" style="143" customWidth="1"/>
    <col min="14104" max="14104" width="58.5703125" style="143" customWidth="1"/>
    <col min="14105" max="14105" width="50.7109375" style="143" customWidth="1"/>
    <col min="14106" max="14106" width="57.85546875" style="143" customWidth="1"/>
    <col min="14107" max="14107" width="60.85546875" style="143" customWidth="1"/>
    <col min="14108" max="14109" width="57.85546875" style="143" customWidth="1"/>
    <col min="14110" max="14110" width="58.5703125" style="143" customWidth="1"/>
    <col min="14111" max="14111" width="56.42578125" style="143" customWidth="1"/>
    <col min="14112" max="14112" width="50.7109375" style="143" customWidth="1"/>
    <col min="14113" max="14113" width="58.5703125" style="143" customWidth="1"/>
    <col min="14114" max="14114" width="55.7109375" style="143" customWidth="1"/>
    <col min="14115" max="14120" width="50.7109375" style="143" customWidth="1"/>
    <col min="14121" max="14143" width="10.7109375" style="143" customWidth="1"/>
    <col min="14144" max="14332" width="9.140625" style="143"/>
    <col min="14333" max="14333" width="21.42578125" style="143" customWidth="1"/>
    <col min="14334" max="14334" width="16.85546875" style="143" customWidth="1"/>
    <col min="14335" max="14335" width="104.7109375" style="143" customWidth="1"/>
    <col min="14336" max="14336" width="84.28515625" style="143" customWidth="1"/>
    <col min="14337" max="14337" width="93" style="143" customWidth="1"/>
    <col min="14338" max="14357" width="9.140625" style="143" customWidth="1"/>
    <col min="14358" max="14358" width="75.85546875" style="143" customWidth="1"/>
    <col min="14359" max="14359" width="10.7109375" style="143" customWidth="1"/>
    <col min="14360" max="14360" width="58.5703125" style="143" customWidth="1"/>
    <col min="14361" max="14361" width="50.7109375" style="143" customWidth="1"/>
    <col min="14362" max="14362" width="57.85546875" style="143" customWidth="1"/>
    <col min="14363" max="14363" width="60.85546875" style="143" customWidth="1"/>
    <col min="14364" max="14365" width="57.85546875" style="143" customWidth="1"/>
    <col min="14366" max="14366" width="58.5703125" style="143" customWidth="1"/>
    <col min="14367" max="14367" width="56.42578125" style="143" customWidth="1"/>
    <col min="14368" max="14368" width="50.7109375" style="143" customWidth="1"/>
    <col min="14369" max="14369" width="58.5703125" style="143" customWidth="1"/>
    <col min="14370" max="14370" width="55.7109375" style="143" customWidth="1"/>
    <col min="14371" max="14376" width="50.7109375" style="143" customWidth="1"/>
    <col min="14377" max="14399" width="10.7109375" style="143" customWidth="1"/>
    <col min="14400" max="14588" width="9.140625" style="143"/>
    <col min="14589" max="14589" width="21.42578125" style="143" customWidth="1"/>
    <col min="14590" max="14590" width="16.85546875" style="143" customWidth="1"/>
    <col min="14591" max="14591" width="104.7109375" style="143" customWidth="1"/>
    <col min="14592" max="14592" width="84.28515625" style="143" customWidth="1"/>
    <col min="14593" max="14593" width="93" style="143" customWidth="1"/>
    <col min="14594" max="14613" width="9.140625" style="143" customWidth="1"/>
    <col min="14614" max="14614" width="75.85546875" style="143" customWidth="1"/>
    <col min="14615" max="14615" width="10.7109375" style="143" customWidth="1"/>
    <col min="14616" max="14616" width="58.5703125" style="143" customWidth="1"/>
    <col min="14617" max="14617" width="50.7109375" style="143" customWidth="1"/>
    <col min="14618" max="14618" width="57.85546875" style="143" customWidth="1"/>
    <col min="14619" max="14619" width="60.85546875" style="143" customWidth="1"/>
    <col min="14620" max="14621" width="57.85546875" style="143" customWidth="1"/>
    <col min="14622" max="14622" width="58.5703125" style="143" customWidth="1"/>
    <col min="14623" max="14623" width="56.42578125" style="143" customWidth="1"/>
    <col min="14624" max="14624" width="50.7109375" style="143" customWidth="1"/>
    <col min="14625" max="14625" width="58.5703125" style="143" customWidth="1"/>
    <col min="14626" max="14626" width="55.7109375" style="143" customWidth="1"/>
    <col min="14627" max="14632" width="50.7109375" style="143" customWidth="1"/>
    <col min="14633" max="14655" width="10.7109375" style="143" customWidth="1"/>
    <col min="14656" max="14844" width="9.140625" style="143"/>
    <col min="14845" max="14845" width="21.42578125" style="143" customWidth="1"/>
    <col min="14846" max="14846" width="16.85546875" style="143" customWidth="1"/>
    <col min="14847" max="14847" width="104.7109375" style="143" customWidth="1"/>
    <col min="14848" max="14848" width="84.28515625" style="143" customWidth="1"/>
    <col min="14849" max="14849" width="93" style="143" customWidth="1"/>
    <col min="14850" max="14869" width="9.140625" style="143" customWidth="1"/>
    <col min="14870" max="14870" width="75.85546875" style="143" customWidth="1"/>
    <col min="14871" max="14871" width="10.7109375" style="143" customWidth="1"/>
    <col min="14872" max="14872" width="58.5703125" style="143" customWidth="1"/>
    <col min="14873" max="14873" width="50.7109375" style="143" customWidth="1"/>
    <col min="14874" max="14874" width="57.85546875" style="143" customWidth="1"/>
    <col min="14875" max="14875" width="60.85546875" style="143" customWidth="1"/>
    <col min="14876" max="14877" width="57.85546875" style="143" customWidth="1"/>
    <col min="14878" max="14878" width="58.5703125" style="143" customWidth="1"/>
    <col min="14879" max="14879" width="56.42578125" style="143" customWidth="1"/>
    <col min="14880" max="14880" width="50.7109375" style="143" customWidth="1"/>
    <col min="14881" max="14881" width="58.5703125" style="143" customWidth="1"/>
    <col min="14882" max="14882" width="55.7109375" style="143" customWidth="1"/>
    <col min="14883" max="14888" width="50.7109375" style="143" customWidth="1"/>
    <col min="14889" max="14911" width="10.7109375" style="143" customWidth="1"/>
    <col min="14912" max="15100" width="9.140625" style="143"/>
    <col min="15101" max="15101" width="21.42578125" style="143" customWidth="1"/>
    <col min="15102" max="15102" width="16.85546875" style="143" customWidth="1"/>
    <col min="15103" max="15103" width="104.7109375" style="143" customWidth="1"/>
    <col min="15104" max="15104" width="84.28515625" style="143" customWidth="1"/>
    <col min="15105" max="15105" width="93" style="143" customWidth="1"/>
    <col min="15106" max="15125" width="9.140625" style="143" customWidth="1"/>
    <col min="15126" max="15126" width="75.85546875" style="143" customWidth="1"/>
    <col min="15127" max="15127" width="10.7109375" style="143" customWidth="1"/>
    <col min="15128" max="15128" width="58.5703125" style="143" customWidth="1"/>
    <col min="15129" max="15129" width="50.7109375" style="143" customWidth="1"/>
    <col min="15130" max="15130" width="57.85546875" style="143" customWidth="1"/>
    <col min="15131" max="15131" width="60.85546875" style="143" customWidth="1"/>
    <col min="15132" max="15133" width="57.85546875" style="143" customWidth="1"/>
    <col min="15134" max="15134" width="58.5703125" style="143" customWidth="1"/>
    <col min="15135" max="15135" width="56.42578125" style="143" customWidth="1"/>
    <col min="15136" max="15136" width="50.7109375" style="143" customWidth="1"/>
    <col min="15137" max="15137" width="58.5703125" style="143" customWidth="1"/>
    <col min="15138" max="15138" width="55.7109375" style="143" customWidth="1"/>
    <col min="15139" max="15144" width="50.7109375" style="143" customWidth="1"/>
    <col min="15145" max="15167" width="10.7109375" style="143" customWidth="1"/>
    <col min="15168" max="15356" width="9.140625" style="143"/>
    <col min="15357" max="15357" width="21.42578125" style="143" customWidth="1"/>
    <col min="15358" max="15358" width="16.85546875" style="143" customWidth="1"/>
    <col min="15359" max="15359" width="104.7109375" style="143" customWidth="1"/>
    <col min="15360" max="15360" width="84.28515625" style="143" customWidth="1"/>
    <col min="15361" max="15361" width="93" style="143" customWidth="1"/>
    <col min="15362" max="15381" width="9.140625" style="143" customWidth="1"/>
    <col min="15382" max="15382" width="75.85546875" style="143" customWidth="1"/>
    <col min="15383" max="15383" width="10.7109375" style="143" customWidth="1"/>
    <col min="15384" max="15384" width="58.5703125" style="143" customWidth="1"/>
    <col min="15385" max="15385" width="50.7109375" style="143" customWidth="1"/>
    <col min="15386" max="15386" width="57.85546875" style="143" customWidth="1"/>
    <col min="15387" max="15387" width="60.85546875" style="143" customWidth="1"/>
    <col min="15388" max="15389" width="57.85546875" style="143" customWidth="1"/>
    <col min="15390" max="15390" width="58.5703125" style="143" customWidth="1"/>
    <col min="15391" max="15391" width="56.42578125" style="143" customWidth="1"/>
    <col min="15392" max="15392" width="50.7109375" style="143" customWidth="1"/>
    <col min="15393" max="15393" width="58.5703125" style="143" customWidth="1"/>
    <col min="15394" max="15394" width="55.7109375" style="143" customWidth="1"/>
    <col min="15395" max="15400" width="50.7109375" style="143" customWidth="1"/>
    <col min="15401" max="15423" width="10.7109375" style="143" customWidth="1"/>
    <col min="15424" max="15612" width="9.140625" style="143"/>
    <col min="15613" max="15613" width="21.42578125" style="143" customWidth="1"/>
    <col min="15614" max="15614" width="16.85546875" style="143" customWidth="1"/>
    <col min="15615" max="15615" width="104.7109375" style="143" customWidth="1"/>
    <col min="15616" max="15616" width="84.28515625" style="143" customWidth="1"/>
    <col min="15617" max="15617" width="93" style="143" customWidth="1"/>
    <col min="15618" max="15637" width="9.140625" style="143" customWidth="1"/>
    <col min="15638" max="15638" width="75.85546875" style="143" customWidth="1"/>
    <col min="15639" max="15639" width="10.7109375" style="143" customWidth="1"/>
    <col min="15640" max="15640" width="58.5703125" style="143" customWidth="1"/>
    <col min="15641" max="15641" width="50.7109375" style="143" customWidth="1"/>
    <col min="15642" max="15642" width="57.85546875" style="143" customWidth="1"/>
    <col min="15643" max="15643" width="60.85546875" style="143" customWidth="1"/>
    <col min="15644" max="15645" width="57.85546875" style="143" customWidth="1"/>
    <col min="15646" max="15646" width="58.5703125" style="143" customWidth="1"/>
    <col min="15647" max="15647" width="56.42578125" style="143" customWidth="1"/>
    <col min="15648" max="15648" width="50.7109375" style="143" customWidth="1"/>
    <col min="15649" max="15649" width="58.5703125" style="143" customWidth="1"/>
    <col min="15650" max="15650" width="55.7109375" style="143" customWidth="1"/>
    <col min="15651" max="15656" width="50.7109375" style="143" customWidth="1"/>
    <col min="15657" max="15679" width="10.7109375" style="143" customWidth="1"/>
    <col min="15680" max="15868" width="9.140625" style="143"/>
    <col min="15869" max="15869" width="21.42578125" style="143" customWidth="1"/>
    <col min="15870" max="15870" width="16.85546875" style="143" customWidth="1"/>
    <col min="15871" max="15871" width="104.7109375" style="143" customWidth="1"/>
    <col min="15872" max="15872" width="84.28515625" style="143" customWidth="1"/>
    <col min="15873" max="15873" width="93" style="143" customWidth="1"/>
    <col min="15874" max="15893" width="9.140625" style="143" customWidth="1"/>
    <col min="15894" max="15894" width="75.85546875" style="143" customWidth="1"/>
    <col min="15895" max="15895" width="10.7109375" style="143" customWidth="1"/>
    <col min="15896" max="15896" width="58.5703125" style="143" customWidth="1"/>
    <col min="15897" max="15897" width="50.7109375" style="143" customWidth="1"/>
    <col min="15898" max="15898" width="57.85546875" style="143" customWidth="1"/>
    <col min="15899" max="15899" width="60.85546875" style="143" customWidth="1"/>
    <col min="15900" max="15901" width="57.85546875" style="143" customWidth="1"/>
    <col min="15902" max="15902" width="58.5703125" style="143" customWidth="1"/>
    <col min="15903" max="15903" width="56.42578125" style="143" customWidth="1"/>
    <col min="15904" max="15904" width="50.7109375" style="143" customWidth="1"/>
    <col min="15905" max="15905" width="58.5703125" style="143" customWidth="1"/>
    <col min="15906" max="15906" width="55.7109375" style="143" customWidth="1"/>
    <col min="15907" max="15912" width="50.7109375" style="143" customWidth="1"/>
    <col min="15913" max="15935" width="10.7109375" style="143" customWidth="1"/>
    <col min="15936" max="16124" width="9.140625" style="143"/>
    <col min="16125" max="16125" width="21.42578125" style="143" customWidth="1"/>
    <col min="16126" max="16126" width="16.85546875" style="143" customWidth="1"/>
    <col min="16127" max="16127" width="104.7109375" style="143" customWidth="1"/>
    <col min="16128" max="16128" width="84.28515625" style="143" customWidth="1"/>
    <col min="16129" max="16129" width="93" style="143" customWidth="1"/>
    <col min="16130" max="16149" width="0" style="143" hidden="1" customWidth="1"/>
    <col min="16150" max="16150" width="75.85546875" style="143" customWidth="1"/>
    <col min="16151" max="16151" width="10.7109375" style="143" customWidth="1"/>
    <col min="16152" max="16152" width="58.5703125" style="143" customWidth="1"/>
    <col min="16153" max="16153" width="50.7109375" style="143" customWidth="1"/>
    <col min="16154" max="16154" width="57.85546875" style="143" customWidth="1"/>
    <col min="16155" max="16155" width="60.85546875" style="143" customWidth="1"/>
    <col min="16156" max="16157" width="57.85546875" style="143" customWidth="1"/>
    <col min="16158" max="16158" width="58.5703125" style="143" customWidth="1"/>
    <col min="16159" max="16159" width="56.42578125" style="143" customWidth="1"/>
    <col min="16160" max="16160" width="50.7109375" style="143" customWidth="1"/>
    <col min="16161" max="16161" width="58.5703125" style="143" customWidth="1"/>
    <col min="16162" max="16162" width="55.7109375" style="143" customWidth="1"/>
    <col min="16163" max="16168" width="50.7109375" style="143" customWidth="1"/>
    <col min="16169" max="16191" width="10.7109375" style="143" customWidth="1"/>
    <col min="16192" max="16384" width="9.140625" style="143"/>
  </cols>
  <sheetData>
    <row r="1" spans="1:32" ht="144" customHeight="1">
      <c r="A1" s="1629" t="s">
        <v>270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  <c r="N1" s="1629"/>
      <c r="O1" s="1629"/>
      <c r="P1" s="1629"/>
      <c r="Q1" s="1629"/>
      <c r="R1" s="1629"/>
      <c r="S1" s="1629"/>
      <c r="T1" s="1629"/>
      <c r="U1" s="1629"/>
      <c r="V1" s="1629"/>
      <c r="W1" s="1629"/>
      <c r="X1" s="1629"/>
      <c r="Y1" s="1629"/>
      <c r="Z1" s="1629"/>
      <c r="AA1" s="1629"/>
      <c r="AB1" s="1629"/>
      <c r="AC1" s="1629"/>
      <c r="AD1" s="1629"/>
      <c r="AE1" s="1629"/>
    </row>
    <row r="2" spans="1:32" s="146" customFormat="1" ht="95.25" customHeight="1">
      <c r="A2" s="1630" t="s">
        <v>2</v>
      </c>
      <c r="B2" s="1631" t="s">
        <v>2</v>
      </c>
      <c r="C2" s="1630" t="s">
        <v>271</v>
      </c>
      <c r="D2" s="1630" t="s">
        <v>272</v>
      </c>
      <c r="E2" s="1630" t="s">
        <v>273</v>
      </c>
      <c r="F2" s="1632" t="s">
        <v>274</v>
      </c>
      <c r="G2" s="1632" t="s">
        <v>275</v>
      </c>
      <c r="H2" s="144"/>
      <c r="I2" s="1630" t="s">
        <v>276</v>
      </c>
      <c r="J2" s="1630"/>
      <c r="K2" s="1630"/>
      <c r="L2" s="1630"/>
      <c r="M2" s="1630"/>
      <c r="N2" s="1630"/>
      <c r="O2" s="1630"/>
      <c r="P2" s="1630"/>
      <c r="Q2" s="1630"/>
      <c r="R2" s="1632" t="s">
        <v>277</v>
      </c>
      <c r="S2" s="1630" t="s">
        <v>278</v>
      </c>
      <c r="T2" s="1630"/>
      <c r="U2" s="1630"/>
      <c r="V2" s="1630"/>
      <c r="W2" s="1630"/>
      <c r="X2" s="1630"/>
      <c r="Y2" s="1630"/>
      <c r="Z2" s="1630"/>
      <c r="AA2" s="1630"/>
      <c r="AB2" s="1630"/>
      <c r="AC2" s="1630"/>
      <c r="AD2" s="1630"/>
      <c r="AE2" s="1634" t="s">
        <v>233</v>
      </c>
      <c r="AF2" s="145"/>
    </row>
    <row r="3" spans="1:32" s="146" customFormat="1" ht="213" customHeight="1">
      <c r="A3" s="1630"/>
      <c r="B3" s="1631"/>
      <c r="C3" s="1630"/>
      <c r="D3" s="1630"/>
      <c r="E3" s="1630"/>
      <c r="F3" s="1632"/>
      <c r="G3" s="1632"/>
      <c r="H3" s="1632" t="s">
        <v>279</v>
      </c>
      <c r="I3" s="1630" t="s">
        <v>280</v>
      </c>
      <c r="J3" s="1630"/>
      <c r="K3" s="1630" t="s">
        <v>281</v>
      </c>
      <c r="L3" s="1630"/>
      <c r="M3" s="1630" t="s">
        <v>282</v>
      </c>
      <c r="N3" s="1630"/>
      <c r="O3" s="1630" t="s">
        <v>283</v>
      </c>
      <c r="P3" s="1630"/>
      <c r="Q3" s="147" t="s">
        <v>284</v>
      </c>
      <c r="R3" s="1632"/>
      <c r="S3" s="1630" t="s">
        <v>280</v>
      </c>
      <c r="T3" s="1630"/>
      <c r="U3" s="1630" t="s">
        <v>285</v>
      </c>
      <c r="V3" s="1630"/>
      <c r="W3" s="1630" t="s">
        <v>286</v>
      </c>
      <c r="X3" s="1630"/>
      <c r="Y3" s="1630" t="s">
        <v>283</v>
      </c>
      <c r="Z3" s="1630"/>
      <c r="AA3" s="1630" t="s">
        <v>287</v>
      </c>
      <c r="AB3" s="1630" t="s">
        <v>288</v>
      </c>
      <c r="AC3" s="1630" t="s">
        <v>289</v>
      </c>
      <c r="AD3" s="1630" t="s">
        <v>290</v>
      </c>
      <c r="AE3" s="1634"/>
      <c r="AF3" s="145"/>
    </row>
    <row r="4" spans="1:32" s="149" customFormat="1" ht="259.5" customHeight="1">
      <c r="A4" s="1630"/>
      <c r="B4" s="1631"/>
      <c r="C4" s="1630"/>
      <c r="D4" s="1630"/>
      <c r="E4" s="1630"/>
      <c r="F4" s="1632"/>
      <c r="G4" s="1632"/>
      <c r="H4" s="1632"/>
      <c r="I4" s="147" t="s">
        <v>291</v>
      </c>
      <c r="J4" s="147" t="s">
        <v>292</v>
      </c>
      <c r="K4" s="147" t="s">
        <v>293</v>
      </c>
      <c r="L4" s="147" t="s">
        <v>292</v>
      </c>
      <c r="M4" s="147" t="s">
        <v>294</v>
      </c>
      <c r="N4" s="147" t="s">
        <v>292</v>
      </c>
      <c r="O4" s="147" t="s">
        <v>295</v>
      </c>
      <c r="P4" s="147" t="s">
        <v>4</v>
      </c>
      <c r="Q4" s="147" t="s">
        <v>292</v>
      </c>
      <c r="R4" s="1632"/>
      <c r="S4" s="147" t="s">
        <v>291</v>
      </c>
      <c r="T4" s="147" t="s">
        <v>292</v>
      </c>
      <c r="U4" s="147" t="s">
        <v>294</v>
      </c>
      <c r="V4" s="147" t="s">
        <v>292</v>
      </c>
      <c r="W4" s="147" t="s">
        <v>296</v>
      </c>
      <c r="X4" s="147" t="s">
        <v>292</v>
      </c>
      <c r="Y4" s="147" t="s">
        <v>297</v>
      </c>
      <c r="Z4" s="147" t="s">
        <v>4</v>
      </c>
      <c r="AA4" s="1630"/>
      <c r="AB4" s="1630"/>
      <c r="AC4" s="1630"/>
      <c r="AD4" s="1630"/>
      <c r="AE4" s="1634"/>
      <c r="AF4" s="148"/>
    </row>
    <row r="5" spans="1:32" s="149" customFormat="1">
      <c r="A5" s="147">
        <v>1</v>
      </c>
      <c r="B5" s="150">
        <v>2</v>
      </c>
      <c r="C5" s="147">
        <v>3</v>
      </c>
      <c r="D5" s="147">
        <v>4</v>
      </c>
      <c r="E5" s="151">
        <v>5</v>
      </c>
      <c r="F5" s="147">
        <v>6</v>
      </c>
      <c r="G5" s="147">
        <v>7</v>
      </c>
      <c r="H5" s="147">
        <v>8</v>
      </c>
      <c r="I5" s="147">
        <v>9</v>
      </c>
      <c r="J5" s="147">
        <v>10</v>
      </c>
      <c r="K5" s="147">
        <v>11</v>
      </c>
      <c r="L5" s="147">
        <v>12</v>
      </c>
      <c r="M5" s="147">
        <v>13</v>
      </c>
      <c r="N5" s="147">
        <v>14</v>
      </c>
      <c r="O5" s="147">
        <v>15</v>
      </c>
      <c r="P5" s="147">
        <v>16</v>
      </c>
      <c r="Q5" s="147">
        <v>17</v>
      </c>
      <c r="R5" s="147">
        <v>18</v>
      </c>
      <c r="S5" s="147">
        <v>19</v>
      </c>
      <c r="T5" s="147">
        <v>20</v>
      </c>
      <c r="U5" s="147">
        <v>21</v>
      </c>
      <c r="V5" s="147">
        <v>22</v>
      </c>
      <c r="W5" s="147">
        <v>23</v>
      </c>
      <c r="X5" s="147">
        <v>24</v>
      </c>
      <c r="Y5" s="147">
        <v>25</v>
      </c>
      <c r="Z5" s="147">
        <v>26</v>
      </c>
      <c r="AA5" s="147">
        <v>27</v>
      </c>
      <c r="AB5" s="147">
        <v>28</v>
      </c>
      <c r="AC5" s="147">
        <v>29</v>
      </c>
      <c r="AD5" s="147">
        <v>30</v>
      </c>
      <c r="AE5" s="147">
        <v>31</v>
      </c>
      <c r="AF5" s="148"/>
    </row>
    <row r="6" spans="1:32" s="153" customFormat="1" ht="59.25" customHeight="1">
      <c r="A6" s="1633" t="s">
        <v>298</v>
      </c>
      <c r="B6" s="1633"/>
      <c r="C6" s="1633"/>
      <c r="D6" s="1633"/>
      <c r="E6" s="1633"/>
      <c r="F6" s="1633"/>
      <c r="G6" s="1633"/>
      <c r="H6" s="1633"/>
      <c r="I6" s="1633"/>
      <c r="J6" s="1633"/>
      <c r="K6" s="1633"/>
      <c r="L6" s="1633"/>
      <c r="M6" s="1633"/>
      <c r="N6" s="1633"/>
      <c r="O6" s="1633"/>
      <c r="P6" s="1633"/>
      <c r="Q6" s="1633"/>
      <c r="R6" s="1633"/>
      <c r="S6" s="1633"/>
      <c r="T6" s="1633"/>
      <c r="U6" s="1633"/>
      <c r="V6" s="1633"/>
      <c r="W6" s="1633"/>
      <c r="X6" s="1633"/>
      <c r="Y6" s="1633"/>
      <c r="Z6" s="1633"/>
      <c r="AA6" s="1633"/>
      <c r="AB6" s="1633"/>
      <c r="AC6" s="1633"/>
      <c r="AD6" s="1633"/>
      <c r="AE6" s="1633"/>
      <c r="AF6" s="152"/>
    </row>
    <row r="7" spans="1:32" s="155" customFormat="1" ht="96.75" customHeight="1">
      <c r="A7" s="1630" t="s">
        <v>299</v>
      </c>
      <c r="B7" s="1630"/>
      <c r="C7" s="1630"/>
      <c r="D7" s="1630"/>
      <c r="E7" s="1630"/>
      <c r="F7" s="1630"/>
      <c r="G7" s="1630"/>
      <c r="H7" s="1630"/>
      <c r="I7" s="1630"/>
      <c r="J7" s="1630"/>
      <c r="K7" s="1630"/>
      <c r="L7" s="1630"/>
      <c r="M7" s="1630"/>
      <c r="N7" s="1630"/>
      <c r="O7" s="1630"/>
      <c r="P7" s="1630"/>
      <c r="Q7" s="1630"/>
      <c r="R7" s="1630"/>
      <c r="S7" s="1630"/>
      <c r="T7" s="1630"/>
      <c r="U7" s="1630"/>
      <c r="V7" s="1630"/>
      <c r="W7" s="1630"/>
      <c r="X7" s="1630"/>
      <c r="Y7" s="1630"/>
      <c r="Z7" s="1630"/>
      <c r="AA7" s="1630"/>
      <c r="AB7" s="1630"/>
      <c r="AC7" s="1630"/>
      <c r="AD7" s="1630"/>
      <c r="AE7" s="1630"/>
      <c r="AF7" s="154"/>
    </row>
    <row r="8" spans="1:32" s="149" customFormat="1" ht="409.5">
      <c r="A8" s="158">
        <v>31</v>
      </c>
      <c r="B8" s="159">
        <v>2</v>
      </c>
      <c r="C8" s="160" t="s">
        <v>301</v>
      </c>
      <c r="D8" s="161" t="s">
        <v>302</v>
      </c>
      <c r="E8" s="162" t="s">
        <v>303</v>
      </c>
      <c r="F8" s="163">
        <v>18</v>
      </c>
      <c r="G8" s="163"/>
      <c r="H8" s="132">
        <v>2</v>
      </c>
      <c r="I8" s="132">
        <v>7500</v>
      </c>
      <c r="J8" s="132">
        <f>I8*F8*(G8+H8)</f>
        <v>270000</v>
      </c>
      <c r="K8" s="127">
        <v>8002</v>
      </c>
      <c r="L8" s="132">
        <f>SUM(K8*F8*G8)</f>
        <v>0</v>
      </c>
      <c r="M8" s="127">
        <v>6402</v>
      </c>
      <c r="N8" s="132">
        <f>M8*F8*H8</f>
        <v>230472</v>
      </c>
      <c r="O8" s="164">
        <v>10000</v>
      </c>
      <c r="P8" s="164">
        <f>O8*H8</f>
        <v>20000</v>
      </c>
      <c r="Q8" s="164"/>
      <c r="R8" s="132">
        <f>J8+L8+N8+P8+Q8</f>
        <v>520472</v>
      </c>
      <c r="S8" s="163"/>
      <c r="T8" s="132"/>
      <c r="U8" s="163"/>
      <c r="V8" s="132"/>
      <c r="W8" s="164"/>
      <c r="X8" s="164"/>
      <c r="Y8" s="164"/>
      <c r="Z8" s="164"/>
      <c r="AA8" s="164"/>
      <c r="AB8" s="164"/>
      <c r="AC8" s="164"/>
      <c r="AD8" s="132"/>
      <c r="AE8" s="132">
        <f>AD8+R8</f>
        <v>520472</v>
      </c>
      <c r="AF8" s="148"/>
    </row>
    <row r="9" spans="1:32" s="166" customFormat="1" ht="211.5">
      <c r="A9" s="156">
        <v>34</v>
      </c>
      <c r="B9" s="135">
        <v>5</v>
      </c>
      <c r="C9" s="160" t="s">
        <v>309</v>
      </c>
      <c r="D9" s="161" t="s">
        <v>310</v>
      </c>
      <c r="E9" s="162" t="s">
        <v>311</v>
      </c>
      <c r="F9" s="163">
        <v>10</v>
      </c>
      <c r="G9" s="163"/>
      <c r="H9" s="132">
        <v>2</v>
      </c>
      <c r="I9" s="132"/>
      <c r="J9" s="132"/>
      <c r="K9" s="132"/>
      <c r="L9" s="132"/>
      <c r="M9" s="132"/>
      <c r="N9" s="132"/>
      <c r="O9" s="164"/>
      <c r="P9" s="164"/>
      <c r="Q9" s="164"/>
      <c r="R9" s="132">
        <f>J9+L9+N9+P9+Q9</f>
        <v>0</v>
      </c>
      <c r="S9" s="163">
        <v>91000</v>
      </c>
      <c r="T9" s="132">
        <f>S9*F9*(G9+H9)</f>
        <v>1820000</v>
      </c>
      <c r="U9" s="164">
        <v>20000</v>
      </c>
      <c r="V9" s="132">
        <f>U9*F9*H9</f>
        <v>400000</v>
      </c>
      <c r="W9" s="164">
        <v>1000</v>
      </c>
      <c r="X9" s="164">
        <f>W9*(G9+H9)*F9</f>
        <v>20000</v>
      </c>
      <c r="Y9" s="164">
        <v>500000</v>
      </c>
      <c r="Z9" s="164">
        <f>Y9*(G9+H9)</f>
        <v>1000000</v>
      </c>
      <c r="AA9" s="164"/>
      <c r="AB9" s="164">
        <v>0</v>
      </c>
      <c r="AC9" s="164"/>
      <c r="AD9" s="132">
        <f>T9+V9+X9+Z9+AA9+AB9+AC9</f>
        <v>3240000</v>
      </c>
      <c r="AE9" s="132">
        <f>AD9+R9</f>
        <v>3240000</v>
      </c>
      <c r="AF9" s="165"/>
    </row>
    <row r="10" spans="1:32" s="176" customFormat="1" ht="409.6" customHeight="1">
      <c r="A10" s="158">
        <v>37</v>
      </c>
      <c r="B10" s="159">
        <v>8</v>
      </c>
      <c r="C10" s="167" t="s">
        <v>307</v>
      </c>
      <c r="D10" s="168" t="s">
        <v>318</v>
      </c>
      <c r="E10" s="167" t="s">
        <v>319</v>
      </c>
      <c r="F10" s="169">
        <v>18</v>
      </c>
      <c r="G10" s="170"/>
      <c r="H10" s="171">
        <v>2</v>
      </c>
      <c r="I10" s="169">
        <v>7000</v>
      </c>
      <c r="J10" s="172">
        <f>I10*F10*(G10+H10)</f>
        <v>252000</v>
      </c>
      <c r="K10" s="169">
        <v>7000</v>
      </c>
      <c r="L10" s="169">
        <f>K10*F10*G10</f>
        <v>0</v>
      </c>
      <c r="M10" s="173">
        <v>6126</v>
      </c>
      <c r="N10" s="173">
        <f>M10*F10*H10</f>
        <v>220536</v>
      </c>
      <c r="O10" s="173">
        <v>10000</v>
      </c>
      <c r="P10" s="173">
        <f>O10*H10*2</f>
        <v>40000</v>
      </c>
      <c r="Q10" s="169">
        <v>0</v>
      </c>
      <c r="R10" s="173">
        <f>P10+N10+L10+J10</f>
        <v>512536</v>
      </c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4">
        <v>0</v>
      </c>
      <c r="AE10" s="175">
        <f>R10+AD10</f>
        <v>512536</v>
      </c>
    </row>
    <row r="11" spans="1:32" s="176" customFormat="1" ht="409.5" customHeight="1">
      <c r="A11" s="156">
        <v>38</v>
      </c>
      <c r="B11" s="135">
        <v>9</v>
      </c>
      <c r="C11" s="167" t="s">
        <v>312</v>
      </c>
      <c r="D11" s="168" t="s">
        <v>310</v>
      </c>
      <c r="E11" s="167" t="s">
        <v>319</v>
      </c>
      <c r="F11" s="169">
        <v>18</v>
      </c>
      <c r="G11" s="170"/>
      <c r="H11" s="171">
        <v>2</v>
      </c>
      <c r="I11" s="169">
        <v>7000</v>
      </c>
      <c r="J11" s="172">
        <f>I11*F11*(G11+H11)</f>
        <v>252000</v>
      </c>
      <c r="K11" s="169">
        <v>7000</v>
      </c>
      <c r="L11" s="169">
        <f>K11*F11*G11</f>
        <v>0</v>
      </c>
      <c r="M11" s="173">
        <v>6126</v>
      </c>
      <c r="N11" s="173">
        <f>M11*F11*H11</f>
        <v>220536</v>
      </c>
      <c r="O11" s="173">
        <v>10000</v>
      </c>
      <c r="P11" s="173">
        <f>O11*H11*2</f>
        <v>40000</v>
      </c>
      <c r="Q11" s="169">
        <v>0</v>
      </c>
      <c r="R11" s="173">
        <f>P11+N11+L11+J11</f>
        <v>512536</v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4">
        <v>0</v>
      </c>
      <c r="AE11" s="175">
        <f>R11+AD11</f>
        <v>512536</v>
      </c>
    </row>
    <row r="12" spans="1:32" s="181" customFormat="1" ht="69">
      <c r="A12" s="1636" t="s">
        <v>233</v>
      </c>
      <c r="B12" s="1636"/>
      <c r="C12" s="1636"/>
      <c r="D12" s="1636"/>
      <c r="E12" s="1636"/>
      <c r="F12" s="1636"/>
      <c r="G12" s="1636"/>
      <c r="H12" s="177"/>
      <c r="I12" s="178"/>
      <c r="J12" s="178">
        <f>SUM(J8:J11)</f>
        <v>774000</v>
      </c>
      <c r="K12" s="178"/>
      <c r="L12" s="178">
        <f>SUM(L8:L11)</f>
        <v>0</v>
      </c>
      <c r="M12" s="178"/>
      <c r="N12" s="178">
        <f>SUM(N8:N11)</f>
        <v>671544</v>
      </c>
      <c r="O12" s="178"/>
      <c r="P12" s="178">
        <f>SUM(P8:P11)</f>
        <v>100000</v>
      </c>
      <c r="Q12" s="178">
        <f>SUM(Q8:Q11)</f>
        <v>0</v>
      </c>
      <c r="R12" s="178">
        <f>J12+L12+N12+P12+Q12</f>
        <v>1545544</v>
      </c>
      <c r="S12" s="178"/>
      <c r="T12" s="178">
        <f>SUM(T8:T11)</f>
        <v>1820000</v>
      </c>
      <c r="U12" s="178"/>
      <c r="V12" s="178">
        <f>SUM(V8:V11)</f>
        <v>400000</v>
      </c>
      <c r="W12" s="178"/>
      <c r="X12" s="178">
        <f>SUM(X8:X11)</f>
        <v>20000</v>
      </c>
      <c r="Y12" s="178"/>
      <c r="Z12" s="178">
        <f>SUM(Z8:Z11)</f>
        <v>1000000</v>
      </c>
      <c r="AA12" s="178">
        <f>SUM(AA8:AA11)</f>
        <v>0</v>
      </c>
      <c r="AB12" s="178">
        <f>SUM(AB8:AB11)</f>
        <v>0</v>
      </c>
      <c r="AC12" s="178">
        <f>SUM(AC8:AC9)</f>
        <v>0</v>
      </c>
      <c r="AD12" s="179">
        <f>T12+V12+X12+Y12+Z12+AA12+AB12+AC12</f>
        <v>3240000</v>
      </c>
      <c r="AE12" s="178">
        <f>R12+AD12</f>
        <v>4785544</v>
      </c>
      <c r="AF12" s="180"/>
    </row>
    <row r="13" spans="1:32" s="155" customFormat="1" ht="96.75" customHeight="1">
      <c r="A13" s="1630" t="s">
        <v>320</v>
      </c>
      <c r="B13" s="1630"/>
      <c r="C13" s="1630"/>
      <c r="D13" s="1630"/>
      <c r="E13" s="1630"/>
      <c r="F13" s="1630"/>
      <c r="G13" s="1630"/>
      <c r="H13" s="1630"/>
      <c r="I13" s="1630"/>
      <c r="J13" s="1630"/>
      <c r="K13" s="1630"/>
      <c r="L13" s="1630"/>
      <c r="M13" s="1630"/>
      <c r="N13" s="1630"/>
      <c r="O13" s="1630"/>
      <c r="P13" s="1630"/>
      <c r="Q13" s="1630"/>
      <c r="R13" s="1630"/>
      <c r="S13" s="1630"/>
      <c r="T13" s="1630"/>
      <c r="U13" s="1630"/>
      <c r="V13" s="1630"/>
      <c r="W13" s="1630"/>
      <c r="X13" s="1630"/>
      <c r="Y13" s="1630"/>
      <c r="Z13" s="1630"/>
      <c r="AA13" s="1630"/>
      <c r="AB13" s="1630"/>
      <c r="AC13" s="1630"/>
      <c r="AD13" s="1630"/>
      <c r="AE13" s="1630"/>
      <c r="AF13" s="154"/>
    </row>
    <row r="14" spans="1:32" s="183" customFormat="1" ht="409.5">
      <c r="A14" s="158">
        <v>39</v>
      </c>
      <c r="B14" s="159">
        <v>1</v>
      </c>
      <c r="C14" s="160" t="s">
        <v>321</v>
      </c>
      <c r="D14" s="161" t="s">
        <v>322</v>
      </c>
      <c r="E14" s="162" t="s">
        <v>303</v>
      </c>
      <c r="F14" s="163">
        <v>18</v>
      </c>
      <c r="G14" s="163"/>
      <c r="H14" s="132">
        <v>2</v>
      </c>
      <c r="I14" s="132">
        <v>7000</v>
      </c>
      <c r="J14" s="132">
        <f>I14*F14*(G14+H14)</f>
        <v>252000</v>
      </c>
      <c r="K14" s="127">
        <v>8002</v>
      </c>
      <c r="L14" s="132">
        <f>SUM(K14*F14*G14)</f>
        <v>0</v>
      </c>
      <c r="M14" s="127">
        <v>6402</v>
      </c>
      <c r="N14" s="132">
        <f>M14*F14*H14</f>
        <v>230472</v>
      </c>
      <c r="O14" s="164">
        <v>10000</v>
      </c>
      <c r="P14" s="164">
        <f>O14*H14</f>
        <v>20000</v>
      </c>
      <c r="Q14" s="164"/>
      <c r="R14" s="132">
        <f>J14+L14+N14+P14+Q14</f>
        <v>502472</v>
      </c>
      <c r="S14" s="163"/>
      <c r="T14" s="132"/>
      <c r="U14" s="163"/>
      <c r="V14" s="132"/>
      <c r="W14" s="164"/>
      <c r="X14" s="164"/>
      <c r="Y14" s="164"/>
      <c r="Z14" s="164"/>
      <c r="AA14" s="164"/>
      <c r="AB14" s="164"/>
      <c r="AC14" s="164"/>
      <c r="AD14" s="132"/>
      <c r="AE14" s="132">
        <f>AD14+R14</f>
        <v>502472</v>
      </c>
      <c r="AF14" s="182"/>
    </row>
    <row r="15" spans="1:32" s="183" customFormat="1" ht="352.5">
      <c r="A15" s="158">
        <v>41</v>
      </c>
      <c r="B15" s="159">
        <v>3</v>
      </c>
      <c r="C15" s="160" t="s">
        <v>304</v>
      </c>
      <c r="D15" s="161" t="s">
        <v>308</v>
      </c>
      <c r="E15" s="162" t="s">
        <v>324</v>
      </c>
      <c r="F15" s="163">
        <v>10</v>
      </c>
      <c r="G15" s="163"/>
      <c r="H15" s="132">
        <v>2</v>
      </c>
      <c r="I15" s="132"/>
      <c r="J15" s="132"/>
      <c r="K15" s="132"/>
      <c r="L15" s="132"/>
      <c r="M15" s="132"/>
      <c r="N15" s="132"/>
      <c r="O15" s="164"/>
      <c r="P15" s="164"/>
      <c r="Q15" s="164"/>
      <c r="R15" s="132">
        <f>J15+L15+N15+P15+Q15</f>
        <v>0</v>
      </c>
      <c r="S15" s="163">
        <f>80*520</f>
        <v>41600</v>
      </c>
      <c r="T15" s="132">
        <f>S15*F15*(G15+H15)</f>
        <v>832000</v>
      </c>
      <c r="U15" s="164">
        <f>80*520</f>
        <v>41600</v>
      </c>
      <c r="V15" s="132">
        <f>U15*F15*(G15+H15)</f>
        <v>832000</v>
      </c>
      <c r="W15" s="164">
        <v>1000</v>
      </c>
      <c r="X15" s="164">
        <f>W15*(G15+H15)*F15</f>
        <v>20000</v>
      </c>
      <c r="Y15" s="164">
        <v>300000</v>
      </c>
      <c r="Z15" s="164">
        <f>Y15*(G15+H15)</f>
        <v>600000</v>
      </c>
      <c r="AA15" s="164">
        <v>0</v>
      </c>
      <c r="AB15" s="164"/>
      <c r="AC15" s="164">
        <v>0</v>
      </c>
      <c r="AD15" s="132">
        <f>T15+V15+X15+Z15+AA15+AB15+AC15</f>
        <v>2284000</v>
      </c>
      <c r="AE15" s="132">
        <f>AD15+R15</f>
        <v>2284000</v>
      </c>
      <c r="AF15" s="182"/>
    </row>
    <row r="16" spans="1:32" s="183" customFormat="1" ht="409.5">
      <c r="A16" s="158">
        <v>42</v>
      </c>
      <c r="B16" s="184">
        <v>4</v>
      </c>
      <c r="C16" s="160" t="s">
        <v>325</v>
      </c>
      <c r="D16" s="161" t="s">
        <v>326</v>
      </c>
      <c r="E16" s="162" t="s">
        <v>327</v>
      </c>
      <c r="F16" s="163">
        <v>18</v>
      </c>
      <c r="G16" s="163"/>
      <c r="H16" s="132">
        <v>2</v>
      </c>
      <c r="I16" s="132">
        <v>7000</v>
      </c>
      <c r="J16" s="132">
        <f>I16*F16*(G16+H16)</f>
        <v>252000</v>
      </c>
      <c r="K16" s="127">
        <v>8002</v>
      </c>
      <c r="L16" s="132">
        <f>SUM(K16*F16*G16)</f>
        <v>0</v>
      </c>
      <c r="M16" s="127">
        <v>6402</v>
      </c>
      <c r="N16" s="132">
        <f>M16*F16*H16</f>
        <v>230472</v>
      </c>
      <c r="O16" s="164">
        <v>10000</v>
      </c>
      <c r="P16" s="164">
        <f>O16*H16</f>
        <v>20000</v>
      </c>
      <c r="Q16" s="164"/>
      <c r="R16" s="132">
        <f>J16+L16+N16+P16+Q16</f>
        <v>502472</v>
      </c>
      <c r="S16" s="163"/>
      <c r="T16" s="132"/>
      <c r="U16" s="163"/>
      <c r="V16" s="132"/>
      <c r="W16" s="164"/>
      <c r="X16" s="164"/>
      <c r="Y16" s="164"/>
      <c r="Z16" s="164"/>
      <c r="AA16" s="164"/>
      <c r="AB16" s="164"/>
      <c r="AC16" s="164"/>
      <c r="AD16" s="132"/>
      <c r="AE16" s="132">
        <f>AD16+R16</f>
        <v>502472</v>
      </c>
      <c r="AF16" s="182"/>
    </row>
    <row r="17" spans="1:32" s="183" customFormat="1" ht="409.5">
      <c r="A17" s="158">
        <v>43</v>
      </c>
      <c r="B17" s="159">
        <v>5</v>
      </c>
      <c r="C17" s="160" t="s">
        <v>328</v>
      </c>
      <c r="D17" s="161" t="s">
        <v>318</v>
      </c>
      <c r="E17" s="162" t="s">
        <v>303</v>
      </c>
      <c r="F17" s="163">
        <v>18</v>
      </c>
      <c r="G17" s="163"/>
      <c r="H17" s="132">
        <v>2</v>
      </c>
      <c r="I17" s="132">
        <v>7000</v>
      </c>
      <c r="J17" s="132">
        <f>I17*F17*(G17+H17)</f>
        <v>252000</v>
      </c>
      <c r="K17" s="127">
        <v>8002</v>
      </c>
      <c r="L17" s="132">
        <f>SUM(K17*F17*G17)</f>
        <v>0</v>
      </c>
      <c r="M17" s="127">
        <v>6402</v>
      </c>
      <c r="N17" s="132">
        <f>M17*F17*H17</f>
        <v>230472</v>
      </c>
      <c r="O17" s="164">
        <v>10000</v>
      </c>
      <c r="P17" s="164">
        <f>O17*H17</f>
        <v>20000</v>
      </c>
      <c r="Q17" s="164"/>
      <c r="R17" s="132">
        <f>J17+L17+N17+P17+Q17</f>
        <v>502472</v>
      </c>
      <c r="S17" s="163"/>
      <c r="T17" s="132"/>
      <c r="U17" s="163"/>
      <c r="V17" s="132"/>
      <c r="W17" s="164"/>
      <c r="X17" s="164"/>
      <c r="Y17" s="164"/>
      <c r="Z17" s="164"/>
      <c r="AA17" s="164"/>
      <c r="AB17" s="164"/>
      <c r="AC17" s="164"/>
      <c r="AD17" s="132"/>
      <c r="AE17" s="132">
        <f>AD17+R17</f>
        <v>502472</v>
      </c>
      <c r="AF17" s="182"/>
    </row>
    <row r="18" spans="1:32" s="183" customFormat="1" ht="211.5">
      <c r="A18" s="158">
        <v>44</v>
      </c>
      <c r="B18" s="184">
        <v>6</v>
      </c>
      <c r="C18" s="160" t="s">
        <v>309</v>
      </c>
      <c r="D18" s="161" t="s">
        <v>318</v>
      </c>
      <c r="E18" s="162" t="s">
        <v>329</v>
      </c>
      <c r="F18" s="163">
        <v>10</v>
      </c>
      <c r="G18" s="163"/>
      <c r="H18" s="132">
        <v>2</v>
      </c>
      <c r="I18" s="132"/>
      <c r="J18" s="132"/>
      <c r="K18" s="132"/>
      <c r="L18" s="132"/>
      <c r="M18" s="132"/>
      <c r="N18" s="132"/>
      <c r="O18" s="164"/>
      <c r="P18" s="164"/>
      <c r="Q18" s="164"/>
      <c r="R18" s="132">
        <f>J18+L18+N18+P18+Q18</f>
        <v>0</v>
      </c>
      <c r="S18" s="139">
        <f>150*580</f>
        <v>87000</v>
      </c>
      <c r="T18" s="132">
        <f>S18*F18*(G18+H18)</f>
        <v>1740000</v>
      </c>
      <c r="U18" s="139">
        <f>150*580</f>
        <v>87000</v>
      </c>
      <c r="V18" s="132">
        <f>U18*F18*(G18+H18)</f>
        <v>1740000</v>
      </c>
      <c r="W18" s="164">
        <v>1000</v>
      </c>
      <c r="X18" s="164">
        <f>W18*(G18+H18)*F18</f>
        <v>20000</v>
      </c>
      <c r="Y18" s="164">
        <v>500000</v>
      </c>
      <c r="Z18" s="164">
        <f>Y18*(G18+H18)</f>
        <v>1000000</v>
      </c>
      <c r="AA18" s="164">
        <v>0</v>
      </c>
      <c r="AB18" s="164">
        <v>0</v>
      </c>
      <c r="AC18" s="164"/>
      <c r="AD18" s="132">
        <f>T18+V18+X18+Z18+AA18+AB18+AC18</f>
        <v>4500000</v>
      </c>
      <c r="AE18" s="132">
        <f>AD18+R18</f>
        <v>4500000</v>
      </c>
      <c r="AF18" s="182"/>
    </row>
    <row r="19" spans="1:32" s="191" customFormat="1" ht="409.5">
      <c r="A19" s="158">
        <v>46</v>
      </c>
      <c r="B19" s="184">
        <v>8</v>
      </c>
      <c r="C19" s="167" t="s">
        <v>331</v>
      </c>
      <c r="D19" s="168" t="s">
        <v>332</v>
      </c>
      <c r="E19" s="167" t="s">
        <v>319</v>
      </c>
      <c r="F19" s="185">
        <v>18</v>
      </c>
      <c r="G19" s="186"/>
      <c r="H19" s="187">
        <v>2</v>
      </c>
      <c r="I19" s="169">
        <v>7000</v>
      </c>
      <c r="J19" s="172">
        <f>I19*F19*(G19+H19)</f>
        <v>252000</v>
      </c>
      <c r="K19" s="169">
        <v>7000</v>
      </c>
      <c r="L19" s="188">
        <f>K19*F19*G19</f>
        <v>0</v>
      </c>
      <c r="M19" s="173">
        <v>6126</v>
      </c>
      <c r="N19" s="173">
        <f>M19*F19*H19</f>
        <v>220536</v>
      </c>
      <c r="O19" s="173">
        <v>10000</v>
      </c>
      <c r="P19" s="173">
        <f>O19*H19*2</f>
        <v>40000</v>
      </c>
      <c r="Q19" s="189">
        <v>0</v>
      </c>
      <c r="R19" s="173">
        <f>P19+N19+L19+J19</f>
        <v>512536</v>
      </c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32">
        <f>T19+V19+X19+Z19+AA19+AB19+AC19</f>
        <v>0</v>
      </c>
      <c r="AE19" s="190">
        <f>R19+AD19</f>
        <v>512536</v>
      </c>
    </row>
    <row r="20" spans="1:32" s="191" customFormat="1" ht="409.5">
      <c r="A20" s="158">
        <v>47</v>
      </c>
      <c r="B20" s="159">
        <v>9</v>
      </c>
      <c r="C20" s="167" t="s">
        <v>333</v>
      </c>
      <c r="D20" s="168" t="s">
        <v>310</v>
      </c>
      <c r="E20" s="167" t="s">
        <v>319</v>
      </c>
      <c r="F20" s="185">
        <v>18</v>
      </c>
      <c r="G20" s="186"/>
      <c r="H20" s="187">
        <v>2</v>
      </c>
      <c r="I20" s="169">
        <v>7000</v>
      </c>
      <c r="J20" s="172">
        <f>I20*F20*(G20+H20)</f>
        <v>252000</v>
      </c>
      <c r="K20" s="169">
        <v>7000</v>
      </c>
      <c r="L20" s="188">
        <f>K20*F20*G20</f>
        <v>0</v>
      </c>
      <c r="M20" s="173">
        <v>6126</v>
      </c>
      <c r="N20" s="173">
        <f>M20*F20*H20</f>
        <v>220536</v>
      </c>
      <c r="O20" s="173">
        <v>10000</v>
      </c>
      <c r="P20" s="173">
        <f>O20*H20*2</f>
        <v>40000</v>
      </c>
      <c r="Q20" s="189">
        <v>0</v>
      </c>
      <c r="R20" s="173">
        <f>P20+N20+L20+J20</f>
        <v>512536</v>
      </c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32">
        <f>T20+V20+X20+Z20+AA20+AB20+AC20</f>
        <v>0</v>
      </c>
      <c r="AE20" s="190">
        <f>R20+AD20</f>
        <v>512536</v>
      </c>
    </row>
    <row r="21" spans="1:32" s="191" customFormat="1" ht="141">
      <c r="A21" s="158">
        <v>48</v>
      </c>
      <c r="B21" s="184">
        <v>10</v>
      </c>
      <c r="C21" s="167" t="s">
        <v>334</v>
      </c>
      <c r="D21" s="168" t="s">
        <v>310</v>
      </c>
      <c r="E21" s="167" t="s">
        <v>335</v>
      </c>
      <c r="F21" s="185">
        <v>6</v>
      </c>
      <c r="G21" s="186"/>
      <c r="H21" s="187">
        <v>3</v>
      </c>
      <c r="I21" s="169">
        <v>0</v>
      </c>
      <c r="J21" s="172">
        <v>0</v>
      </c>
      <c r="K21" s="169">
        <v>0</v>
      </c>
      <c r="L21" s="188">
        <v>0</v>
      </c>
      <c r="M21" s="173">
        <v>0</v>
      </c>
      <c r="N21" s="173">
        <v>0</v>
      </c>
      <c r="O21" s="173">
        <v>0</v>
      </c>
      <c r="P21" s="173">
        <v>0</v>
      </c>
      <c r="Q21" s="189">
        <v>0</v>
      </c>
      <c r="R21" s="173">
        <v>0</v>
      </c>
      <c r="S21" s="139">
        <f>150*580</f>
        <v>87000</v>
      </c>
      <c r="T21" s="169">
        <f>S21*F21*(G21+H21)</f>
        <v>1566000</v>
      </c>
      <c r="U21" s="139">
        <f>150*580</f>
        <v>87000</v>
      </c>
      <c r="V21" s="169">
        <f>U21*F21*(G21+H21)</f>
        <v>1566000</v>
      </c>
      <c r="W21" s="192">
        <v>20000</v>
      </c>
      <c r="X21" s="169">
        <f>W21*F21*(G21+H21)</f>
        <v>360000</v>
      </c>
      <c r="Y21" s="192">
        <v>800000</v>
      </c>
      <c r="Z21" s="169">
        <f>Y21*(G21+H21)</f>
        <v>2400000</v>
      </c>
      <c r="AA21" s="192">
        <f>50000*(G21+H21)</f>
        <v>150000</v>
      </c>
      <c r="AB21" s="192">
        <v>0</v>
      </c>
      <c r="AC21" s="192">
        <v>0</v>
      </c>
      <c r="AD21" s="193">
        <f>T21+V21+X21+Z21+AA21+AB21+AC21</f>
        <v>6042000</v>
      </c>
      <c r="AE21" s="194">
        <f>AA21+Z21+X21+V21+T21</f>
        <v>6042000</v>
      </c>
    </row>
    <row r="22" spans="1:32" s="155" customFormat="1" ht="96.75" customHeight="1">
      <c r="A22" s="1635" t="s">
        <v>233</v>
      </c>
      <c r="B22" s="1635"/>
      <c r="C22" s="1635"/>
      <c r="D22" s="1635"/>
      <c r="E22" s="1635"/>
      <c r="F22" s="1635"/>
      <c r="G22" s="1635"/>
      <c r="H22" s="195"/>
      <c r="I22" s="179"/>
      <c r="J22" s="179">
        <f>SUM(J14:J21)</f>
        <v>1260000</v>
      </c>
      <c r="K22" s="179"/>
      <c r="L22" s="179">
        <f>SUM(L14:L21)</f>
        <v>0</v>
      </c>
      <c r="M22" s="179"/>
      <c r="N22" s="179">
        <f>SUM(N14:N21)</f>
        <v>1132488</v>
      </c>
      <c r="O22" s="178"/>
      <c r="P22" s="178">
        <f>SUM(P14:P21)</f>
        <v>140000</v>
      </c>
      <c r="Q22" s="178">
        <f>SUM(Q14:Q21)</f>
        <v>0</v>
      </c>
      <c r="R22" s="178">
        <f>J22+L22+N22+P22+Q22</f>
        <v>2532488</v>
      </c>
      <c r="S22" s="178"/>
      <c r="T22" s="178">
        <f>SUM(T14:T21)</f>
        <v>4138000</v>
      </c>
      <c r="U22" s="178"/>
      <c r="V22" s="178">
        <f>SUM(V14:V21)</f>
        <v>4138000</v>
      </c>
      <c r="W22" s="178"/>
      <c r="X22" s="178">
        <f>SUM(X14:X21)</f>
        <v>400000</v>
      </c>
      <c r="Y22" s="178"/>
      <c r="Z22" s="178">
        <f>SUM(Z14:Z21)</f>
        <v>4000000</v>
      </c>
      <c r="AA22" s="178">
        <f>SUM(AA14:AA21)</f>
        <v>150000</v>
      </c>
      <c r="AB22" s="179">
        <f>SUM(AB14:AB21)</f>
        <v>0</v>
      </c>
      <c r="AC22" s="179">
        <f>SUM(AC14:AC21)</f>
        <v>0</v>
      </c>
      <c r="AD22" s="179">
        <f>T22+V22+X22+Z22+AA22+AB22+AC22</f>
        <v>12826000</v>
      </c>
      <c r="AE22" s="178">
        <f>R22+AD22</f>
        <v>15358488</v>
      </c>
      <c r="AF22" s="154"/>
    </row>
    <row r="23" spans="1:32" s="155" customFormat="1" ht="96.75" customHeight="1">
      <c r="A23" s="1630" t="s">
        <v>336</v>
      </c>
      <c r="B23" s="1630"/>
      <c r="C23" s="1630"/>
      <c r="D23" s="1630"/>
      <c r="E23" s="1630"/>
      <c r="F23" s="1630"/>
      <c r="G23" s="1630"/>
      <c r="H23" s="1630"/>
      <c r="I23" s="1630"/>
      <c r="J23" s="1630"/>
      <c r="K23" s="1630"/>
      <c r="L23" s="1630"/>
      <c r="M23" s="1630"/>
      <c r="N23" s="1630"/>
      <c r="O23" s="1630"/>
      <c r="P23" s="1630"/>
      <c r="Q23" s="1630"/>
      <c r="R23" s="1630"/>
      <c r="S23" s="1630"/>
      <c r="T23" s="1630"/>
      <c r="U23" s="1630"/>
      <c r="V23" s="1630"/>
      <c r="W23" s="1630"/>
      <c r="X23" s="1630"/>
      <c r="Y23" s="1630"/>
      <c r="Z23" s="1630"/>
      <c r="AA23" s="1630"/>
      <c r="AB23" s="1630"/>
      <c r="AC23" s="1630"/>
      <c r="AD23" s="1630"/>
      <c r="AE23" s="1630"/>
      <c r="AF23" s="154"/>
    </row>
    <row r="24" spans="1:32" s="133" customFormat="1" ht="409.5">
      <c r="A24" s="118">
        <v>49</v>
      </c>
      <c r="B24" s="119">
        <v>1</v>
      </c>
      <c r="C24" s="120" t="s">
        <v>301</v>
      </c>
      <c r="D24" s="121" t="s">
        <v>337</v>
      </c>
      <c r="E24" s="122" t="s">
        <v>338</v>
      </c>
      <c r="F24" s="123">
        <v>18</v>
      </c>
      <c r="G24" s="124"/>
      <c r="H24" s="123">
        <v>2</v>
      </c>
      <c r="I24" s="125">
        <v>8000</v>
      </c>
      <c r="J24" s="126">
        <f>I24*F24*(G24+H24)</f>
        <v>288000</v>
      </c>
      <c r="K24" s="127">
        <v>8002</v>
      </c>
      <c r="L24" s="128">
        <f>K24*F24*G24</f>
        <v>0</v>
      </c>
      <c r="M24" s="127">
        <v>6402</v>
      </c>
      <c r="N24" s="129">
        <f>M24*H24*F24</f>
        <v>230472</v>
      </c>
      <c r="O24" s="129">
        <v>10000</v>
      </c>
      <c r="P24" s="129">
        <f>O24*H24*2</f>
        <v>40000</v>
      </c>
      <c r="Q24" s="129">
        <v>0</v>
      </c>
      <c r="R24" s="129">
        <f>P24+Q24+N24+L24+J24</f>
        <v>558472</v>
      </c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1"/>
      <c r="AE24" s="132">
        <f>R24+AD24</f>
        <v>558472</v>
      </c>
    </row>
    <row r="25" spans="1:32" s="133" customFormat="1" ht="118.5" customHeight="1">
      <c r="A25" s="118">
        <v>51</v>
      </c>
      <c r="B25" s="119">
        <v>3</v>
      </c>
      <c r="C25" s="136" t="s">
        <v>304</v>
      </c>
      <c r="D25" s="161" t="s">
        <v>340</v>
      </c>
      <c r="E25" s="122" t="s">
        <v>339</v>
      </c>
      <c r="F25" s="138">
        <v>10</v>
      </c>
      <c r="G25" s="124"/>
      <c r="H25" s="123">
        <v>2</v>
      </c>
      <c r="I25" s="125"/>
      <c r="J25" s="126"/>
      <c r="K25" s="125"/>
      <c r="L25" s="128"/>
      <c r="M25" s="129"/>
      <c r="N25" s="129"/>
      <c r="O25" s="129"/>
      <c r="P25" s="129"/>
      <c r="Q25" s="129"/>
      <c r="R25" s="129"/>
      <c r="S25" s="139">
        <f>150*580</f>
        <v>87000</v>
      </c>
      <c r="T25" s="140">
        <f>S25*F25*(G25+H25)</f>
        <v>1740000</v>
      </c>
      <c r="U25" s="139">
        <f>150*580</f>
        <v>87000</v>
      </c>
      <c r="V25" s="140">
        <f>U25*F25*(G25+H25)</f>
        <v>1740000</v>
      </c>
      <c r="W25" s="141">
        <v>14001</v>
      </c>
      <c r="X25" s="140">
        <f>W25*(G25+H25)</f>
        <v>28002</v>
      </c>
      <c r="Y25" s="141"/>
      <c r="Z25" s="128"/>
      <c r="AA25" s="141"/>
      <c r="AB25" s="141"/>
      <c r="AC25" s="141"/>
      <c r="AD25" s="132">
        <f>T25+V25+X25+Z25+AA25+AB25+AC25</f>
        <v>3508002</v>
      </c>
      <c r="AE25" s="132">
        <f>AD25+R25</f>
        <v>3508002</v>
      </c>
    </row>
    <row r="26" spans="1:32" s="133" customFormat="1" ht="211.5">
      <c r="A26" s="118">
        <v>53</v>
      </c>
      <c r="B26" s="119">
        <v>5</v>
      </c>
      <c r="C26" s="196" t="s">
        <v>309</v>
      </c>
      <c r="D26" s="197" t="s">
        <v>318</v>
      </c>
      <c r="E26" s="198" t="s">
        <v>329</v>
      </c>
      <c r="F26" s="199">
        <v>10</v>
      </c>
      <c r="G26" s="200"/>
      <c r="H26" s="201">
        <v>2</v>
      </c>
      <c r="I26" s="202"/>
      <c r="J26" s="203"/>
      <c r="K26" s="202"/>
      <c r="L26" s="204"/>
      <c r="M26" s="205"/>
      <c r="N26" s="205"/>
      <c r="O26" s="205"/>
      <c r="P26" s="205"/>
      <c r="Q26" s="205"/>
      <c r="R26" s="205"/>
      <c r="S26" s="139">
        <f>150*580</f>
        <v>87000</v>
      </c>
      <c r="T26" s="206">
        <f>S26*F26*(G26+H26)</f>
        <v>1740000</v>
      </c>
      <c r="U26" s="139">
        <f>150*580</f>
        <v>87000</v>
      </c>
      <c r="V26" s="206">
        <f>U26*F26*(G26+H26)</f>
        <v>1740000</v>
      </c>
      <c r="W26" s="207">
        <v>14000</v>
      </c>
      <c r="X26" s="206">
        <f>W26*(G26+H26)</f>
        <v>28000</v>
      </c>
      <c r="Y26" s="207">
        <v>700000</v>
      </c>
      <c r="Z26" s="204">
        <f>Y26*(G26+H26)</f>
        <v>1400000</v>
      </c>
      <c r="AA26" s="207"/>
      <c r="AB26" s="207"/>
      <c r="AC26" s="207"/>
      <c r="AD26" s="208">
        <f>T26+V26+X26+Z26+AA26+AB26+AC26</f>
        <v>4908000</v>
      </c>
      <c r="AE26" s="208">
        <f>AD26+R26</f>
        <v>4908000</v>
      </c>
    </row>
    <row r="27" spans="1:32" s="191" customFormat="1" ht="352.5">
      <c r="A27" s="134">
        <v>54</v>
      </c>
      <c r="B27" s="135">
        <v>6</v>
      </c>
      <c r="C27" s="167" t="s">
        <v>341</v>
      </c>
      <c r="D27" s="168" t="s">
        <v>342</v>
      </c>
      <c r="E27" s="167" t="s">
        <v>343</v>
      </c>
      <c r="F27" s="209">
        <v>10</v>
      </c>
      <c r="G27" s="210"/>
      <c r="H27" s="210">
        <v>2</v>
      </c>
      <c r="I27" s="169"/>
      <c r="J27" s="172"/>
      <c r="K27" s="169"/>
      <c r="L27" s="188"/>
      <c r="M27" s="173"/>
      <c r="N27" s="173"/>
      <c r="O27" s="173"/>
      <c r="P27" s="173"/>
      <c r="Q27" s="189"/>
      <c r="R27" s="173">
        <v>0</v>
      </c>
      <c r="S27" s="139">
        <f>150*580</f>
        <v>87000</v>
      </c>
      <c r="T27" s="169">
        <f>S27*F27*(G27+H27)</f>
        <v>1740000</v>
      </c>
      <c r="U27" s="139">
        <f>150*580</f>
        <v>87000</v>
      </c>
      <c r="V27" s="206">
        <f>U27*F27*(G27+H27)</f>
        <v>1740000</v>
      </c>
      <c r="W27" s="192">
        <v>17000</v>
      </c>
      <c r="X27" s="169">
        <f>W27*(G27+H27)</f>
        <v>34000</v>
      </c>
      <c r="Y27" s="192">
        <v>300000</v>
      </c>
      <c r="Z27" s="169">
        <f>Y27*(G27+H27)</f>
        <v>600000</v>
      </c>
      <c r="AA27" s="192">
        <f>50000*(G27+H27)</f>
        <v>100000</v>
      </c>
      <c r="AB27" s="192">
        <v>0</v>
      </c>
      <c r="AC27" s="192"/>
      <c r="AD27" s="211">
        <f>T27+V27+X27+Z27+AA27+AB27+AC27</f>
        <v>4214000</v>
      </c>
      <c r="AE27" s="194">
        <f>T27+V27+X27+Z27+AA27+AB27+AC27</f>
        <v>4214000</v>
      </c>
    </row>
    <row r="28" spans="1:32" s="191" customFormat="1" ht="245.1" customHeight="1">
      <c r="A28" s="118">
        <v>55</v>
      </c>
      <c r="B28" s="119">
        <v>7</v>
      </c>
      <c r="C28" s="167" t="s">
        <v>334</v>
      </c>
      <c r="D28" s="168" t="s">
        <v>344</v>
      </c>
      <c r="E28" s="167" t="s">
        <v>345</v>
      </c>
      <c r="F28" s="185">
        <v>10</v>
      </c>
      <c r="G28" s="210"/>
      <c r="H28" s="210">
        <v>2</v>
      </c>
      <c r="I28" s="169"/>
      <c r="J28" s="172"/>
      <c r="K28" s="169"/>
      <c r="L28" s="188"/>
      <c r="M28" s="173"/>
      <c r="N28" s="173"/>
      <c r="O28" s="173"/>
      <c r="P28" s="173"/>
      <c r="Q28" s="189"/>
      <c r="R28" s="173">
        <v>0</v>
      </c>
      <c r="S28" s="169">
        <v>91000</v>
      </c>
      <c r="T28" s="169">
        <f>S28*F28*(G28+H28)</f>
        <v>1820000</v>
      </c>
      <c r="U28" s="192">
        <v>0</v>
      </c>
      <c r="V28" s="169">
        <v>0</v>
      </c>
      <c r="W28" s="169">
        <v>20000</v>
      </c>
      <c r="X28" s="169">
        <f>W28*(G28+H28)</f>
        <v>40000</v>
      </c>
      <c r="Y28" s="169">
        <v>700000</v>
      </c>
      <c r="Z28" s="169">
        <f>Y28*(G28+H28)</f>
        <v>1400000</v>
      </c>
      <c r="AA28" s="169">
        <f>40000*(G28+H28)</f>
        <v>80000</v>
      </c>
      <c r="AB28" s="169">
        <v>0</v>
      </c>
      <c r="AC28" s="212"/>
      <c r="AD28" s="211">
        <f>T28+V28+X28+Z28+AA28+AB28+AC28</f>
        <v>3340000</v>
      </c>
      <c r="AE28" s="194">
        <f>T28+V28+X28+Z28+AA28+AB28+AC28</f>
        <v>3340000</v>
      </c>
    </row>
    <row r="29" spans="1:32" s="155" customFormat="1" ht="96.75" customHeight="1">
      <c r="A29" s="1635" t="s">
        <v>233</v>
      </c>
      <c r="B29" s="1635"/>
      <c r="C29" s="1635"/>
      <c r="D29" s="1635"/>
      <c r="E29" s="1635"/>
      <c r="F29" s="1635"/>
      <c r="G29" s="1635"/>
      <c r="H29" s="195"/>
      <c r="I29" s="179"/>
      <c r="J29" s="179">
        <f>SUM(J24:J28)</f>
        <v>288000</v>
      </c>
      <c r="K29" s="179"/>
      <c r="L29" s="179">
        <f>SUM(L24:L28)</f>
        <v>0</v>
      </c>
      <c r="M29" s="179"/>
      <c r="N29" s="179">
        <f>SUM(N24:N28)</f>
        <v>230472</v>
      </c>
      <c r="O29" s="178"/>
      <c r="P29" s="178">
        <f>SUM(P24:P28)</f>
        <v>40000</v>
      </c>
      <c r="Q29" s="178">
        <f>SUM(Q24:Q28)</f>
        <v>0</v>
      </c>
      <c r="R29" s="178">
        <f>J29+L29+N29+P29+Q29</f>
        <v>558472</v>
      </c>
      <c r="S29" s="178"/>
      <c r="T29" s="178">
        <f>SUM(T24:T28)</f>
        <v>7040000</v>
      </c>
      <c r="U29" s="178"/>
      <c r="V29" s="178">
        <f>SUM(V24:V28)</f>
        <v>5220000</v>
      </c>
      <c r="W29" s="178"/>
      <c r="X29" s="178">
        <f>SUM(X24:X28)</f>
        <v>130002</v>
      </c>
      <c r="Y29" s="178"/>
      <c r="Z29" s="178">
        <f>SUM(Z24:Z28)</f>
        <v>3400000</v>
      </c>
      <c r="AA29" s="178">
        <f>SUM(AA24:AA28)</f>
        <v>180000</v>
      </c>
      <c r="AB29" s="179">
        <f>SUM(AB24:AB28)</f>
        <v>0</v>
      </c>
      <c r="AC29" s="179">
        <f>SUM(AC24:AC28)</f>
        <v>0</v>
      </c>
      <c r="AD29" s="179">
        <f>T29+V29+X29+Z29+AA29+AB29+AC29</f>
        <v>15970002</v>
      </c>
      <c r="AE29" s="178">
        <f>R29+AD29</f>
        <v>16528474</v>
      </c>
      <c r="AF29" s="154"/>
    </row>
    <row r="30" spans="1:32" s="155" customFormat="1" ht="96.75" customHeight="1">
      <c r="A30" s="1630" t="s">
        <v>346</v>
      </c>
      <c r="B30" s="1630"/>
      <c r="C30" s="1630"/>
      <c r="D30" s="1630"/>
      <c r="E30" s="1630"/>
      <c r="F30" s="1630"/>
      <c r="G30" s="1630"/>
      <c r="H30" s="1630"/>
      <c r="I30" s="1630"/>
      <c r="J30" s="1630"/>
      <c r="K30" s="1630"/>
      <c r="L30" s="1630"/>
      <c r="M30" s="1630"/>
      <c r="N30" s="1630"/>
      <c r="O30" s="1630"/>
      <c r="P30" s="1630"/>
      <c r="Q30" s="1630"/>
      <c r="R30" s="1630"/>
      <c r="S30" s="1630"/>
      <c r="T30" s="1630"/>
      <c r="U30" s="1630"/>
      <c r="V30" s="1630"/>
      <c r="W30" s="1630"/>
      <c r="X30" s="1630"/>
      <c r="Y30" s="1630"/>
      <c r="Z30" s="1630"/>
      <c r="AA30" s="1630"/>
      <c r="AB30" s="1630"/>
      <c r="AC30" s="1630"/>
      <c r="AD30" s="1630"/>
      <c r="AE30" s="1630"/>
      <c r="AF30" s="154"/>
    </row>
    <row r="31" spans="1:32" s="133" customFormat="1" ht="409.5" customHeight="1">
      <c r="A31" s="118">
        <v>56</v>
      </c>
      <c r="B31" s="119">
        <v>1</v>
      </c>
      <c r="C31" s="120" t="s">
        <v>301</v>
      </c>
      <c r="D31" s="121" t="s">
        <v>347</v>
      </c>
      <c r="E31" s="122" t="s">
        <v>338</v>
      </c>
      <c r="F31" s="123">
        <v>18</v>
      </c>
      <c r="G31" s="124"/>
      <c r="H31" s="123">
        <v>2</v>
      </c>
      <c r="I31" s="125">
        <v>9000</v>
      </c>
      <c r="J31" s="126">
        <f>I31*F31*(G31+H31)</f>
        <v>324000</v>
      </c>
      <c r="K31" s="127">
        <v>8002</v>
      </c>
      <c r="L31" s="128">
        <f>K31*F31*G31</f>
        <v>0</v>
      </c>
      <c r="M31" s="127">
        <v>6402</v>
      </c>
      <c r="N31" s="129">
        <f>M31*H31*F31</f>
        <v>230472</v>
      </c>
      <c r="O31" s="129">
        <v>10000</v>
      </c>
      <c r="P31" s="129">
        <f>O31*H31*2</f>
        <v>40000</v>
      </c>
      <c r="Q31" s="129">
        <v>0</v>
      </c>
      <c r="R31" s="129">
        <f>P31+Q31+N31+L31+J31</f>
        <v>594472</v>
      </c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1"/>
      <c r="AE31" s="132">
        <f>R31+AD31</f>
        <v>594472</v>
      </c>
    </row>
    <row r="32" spans="1:32" s="191" customFormat="1" ht="409.5">
      <c r="A32" s="118">
        <v>62</v>
      </c>
      <c r="B32" s="119">
        <v>7</v>
      </c>
      <c r="C32" s="167" t="s">
        <v>301</v>
      </c>
      <c r="D32" s="168" t="s">
        <v>318</v>
      </c>
      <c r="E32" s="167" t="s">
        <v>319</v>
      </c>
      <c r="F32" s="185">
        <v>18</v>
      </c>
      <c r="G32" s="210"/>
      <c r="H32" s="210">
        <v>2</v>
      </c>
      <c r="I32" s="169">
        <v>9000</v>
      </c>
      <c r="J32" s="172">
        <f>I32*F32*(G32+H32)</f>
        <v>324000</v>
      </c>
      <c r="K32" s="169">
        <v>9189</v>
      </c>
      <c r="L32" s="188">
        <f>K32*F32*G32</f>
        <v>0</v>
      </c>
      <c r="M32" s="173">
        <v>6126</v>
      </c>
      <c r="N32" s="173">
        <f>M32*H32*F32</f>
        <v>220536</v>
      </c>
      <c r="O32" s="173">
        <v>10000</v>
      </c>
      <c r="P32" s="173">
        <f>O32*H32*2</f>
        <v>40000</v>
      </c>
      <c r="Q32" s="188">
        <v>0</v>
      </c>
      <c r="R32" s="173">
        <f>P32+Q32+N32+L32+J32</f>
        <v>584536</v>
      </c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211">
        <v>0</v>
      </c>
      <c r="AE32" s="214">
        <f>AD32+R32</f>
        <v>584536</v>
      </c>
    </row>
    <row r="33" spans="1:32" s="191" customFormat="1" ht="409.5">
      <c r="A33" s="134">
        <v>63</v>
      </c>
      <c r="B33" s="135">
        <v>8</v>
      </c>
      <c r="C33" s="167" t="s">
        <v>301</v>
      </c>
      <c r="D33" s="168" t="s">
        <v>310</v>
      </c>
      <c r="E33" s="167" t="s">
        <v>319</v>
      </c>
      <c r="F33" s="209">
        <v>18</v>
      </c>
      <c r="G33" s="210"/>
      <c r="H33" s="161">
        <v>2</v>
      </c>
      <c r="I33" s="169">
        <v>9000</v>
      </c>
      <c r="J33" s="172">
        <f>I33*F33*(G33+H33)</f>
        <v>324000</v>
      </c>
      <c r="K33" s="169">
        <v>9189</v>
      </c>
      <c r="L33" s="188">
        <f>K33*F33*G33</f>
        <v>0</v>
      </c>
      <c r="M33" s="173">
        <v>6126</v>
      </c>
      <c r="N33" s="173">
        <f>M33*H33*F33</f>
        <v>220536</v>
      </c>
      <c r="O33" s="173">
        <v>10000</v>
      </c>
      <c r="P33" s="173">
        <f>O33*H33*2</f>
        <v>40000</v>
      </c>
      <c r="Q33" s="188">
        <v>0</v>
      </c>
      <c r="R33" s="173">
        <f>P33+Q33+N33+L33+J33</f>
        <v>584536</v>
      </c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215"/>
      <c r="AD33" s="211">
        <v>0</v>
      </c>
      <c r="AE33" s="214">
        <f>AD33+R33</f>
        <v>584536</v>
      </c>
    </row>
    <row r="34" spans="1:32" s="191" customFormat="1" ht="176.45" customHeight="1">
      <c r="A34" s="118">
        <v>64</v>
      </c>
      <c r="B34" s="119">
        <v>9</v>
      </c>
      <c r="C34" s="167" t="s">
        <v>334</v>
      </c>
      <c r="D34" s="168" t="s">
        <v>310</v>
      </c>
      <c r="E34" s="167" t="s">
        <v>353</v>
      </c>
      <c r="F34" s="209">
        <v>10</v>
      </c>
      <c r="G34" s="210"/>
      <c r="H34" s="161">
        <v>2</v>
      </c>
      <c r="I34" s="169">
        <v>0</v>
      </c>
      <c r="J34" s="172">
        <v>0</v>
      </c>
      <c r="K34" s="169">
        <v>0</v>
      </c>
      <c r="L34" s="188">
        <v>0</v>
      </c>
      <c r="M34" s="173">
        <v>0</v>
      </c>
      <c r="N34" s="173">
        <v>0</v>
      </c>
      <c r="O34" s="173">
        <v>0</v>
      </c>
      <c r="P34" s="173">
        <v>0</v>
      </c>
      <c r="Q34" s="188">
        <v>0</v>
      </c>
      <c r="R34" s="173">
        <v>0</v>
      </c>
      <c r="S34" s="169">
        <v>100000</v>
      </c>
      <c r="T34" s="169">
        <f>S34*F34*(G34+H34)</f>
        <v>2000000</v>
      </c>
      <c r="U34" s="169">
        <v>0</v>
      </c>
      <c r="V34" s="169">
        <f>U34*F34*(G34+H34)</f>
        <v>0</v>
      </c>
      <c r="W34" s="169">
        <v>25000</v>
      </c>
      <c r="X34" s="169">
        <f>W34*(G34+H34)</f>
        <v>50000</v>
      </c>
      <c r="Y34" s="169">
        <v>800000</v>
      </c>
      <c r="Z34" s="169">
        <f>Y34*(G34+H34)</f>
        <v>1600000</v>
      </c>
      <c r="AA34" s="169">
        <f>40000*(G34+H34)</f>
        <v>80000</v>
      </c>
      <c r="AB34" s="169">
        <v>0</v>
      </c>
      <c r="AC34" s="216">
        <f>15000*(G34+H34)+46000*G34</f>
        <v>30000</v>
      </c>
      <c r="AD34" s="211">
        <f>T34+V34+X34+Z34+AB34+AA34+AC34</f>
        <v>3760000</v>
      </c>
      <c r="AE34" s="214">
        <f>AD34+R34</f>
        <v>3760000</v>
      </c>
    </row>
    <row r="35" spans="1:32" s="155" customFormat="1" ht="96.75" customHeight="1">
      <c r="A35" s="1635" t="s">
        <v>233</v>
      </c>
      <c r="B35" s="1635"/>
      <c r="C35" s="1635"/>
      <c r="D35" s="1635"/>
      <c r="E35" s="1635"/>
      <c r="F35" s="1635"/>
      <c r="G35" s="1635"/>
      <c r="H35" s="195"/>
      <c r="I35" s="179"/>
      <c r="J35" s="179">
        <f>SUM(J31:J34)</f>
        <v>972000</v>
      </c>
      <c r="K35" s="179"/>
      <c r="L35" s="179">
        <f>SUM(L31:L34)</f>
        <v>0</v>
      </c>
      <c r="M35" s="179"/>
      <c r="N35" s="179">
        <f>SUM(N31:N34)</f>
        <v>671544</v>
      </c>
      <c r="O35" s="178"/>
      <c r="P35" s="178">
        <f>SUM(P31:P34)</f>
        <v>120000</v>
      </c>
      <c r="Q35" s="178">
        <f>SUM(Q31:Q34)</f>
        <v>0</v>
      </c>
      <c r="R35" s="178">
        <f>J35+L35+N35+P35+Q35</f>
        <v>1763544</v>
      </c>
      <c r="S35" s="178"/>
      <c r="T35" s="178">
        <f>SUM(T31:T34)</f>
        <v>2000000</v>
      </c>
      <c r="U35" s="178"/>
      <c r="V35" s="178">
        <f>SUM(V31:V34)</f>
        <v>0</v>
      </c>
      <c r="W35" s="178"/>
      <c r="X35" s="178">
        <f>SUM(X31:X34)</f>
        <v>50000</v>
      </c>
      <c r="Y35" s="178"/>
      <c r="Z35" s="178">
        <f>SUM(Z31:Z34)</f>
        <v>1600000</v>
      </c>
      <c r="AA35" s="178">
        <f>SUM(AA31:AA34)</f>
        <v>80000</v>
      </c>
      <c r="AB35" s="179">
        <f>SUM(AB31:AB34)</f>
        <v>0</v>
      </c>
      <c r="AC35" s="179">
        <f>SUM(AC31:AC34)</f>
        <v>30000</v>
      </c>
      <c r="AD35" s="179">
        <f>T35+V35+X35+Z35+AA35+AB35+AC35</f>
        <v>3760000</v>
      </c>
      <c r="AE35" s="178">
        <f>R35+AD35</f>
        <v>5523544</v>
      </c>
      <c r="AF35" s="154"/>
    </row>
    <row r="36" spans="1:32" s="155" customFormat="1" ht="96.75" customHeight="1">
      <c r="A36" s="1630" t="s">
        <v>354</v>
      </c>
      <c r="B36" s="1630"/>
      <c r="C36" s="1630"/>
      <c r="D36" s="1630"/>
      <c r="E36" s="1630"/>
      <c r="F36" s="1630"/>
      <c r="G36" s="1630"/>
      <c r="H36" s="1630"/>
      <c r="I36" s="1630"/>
      <c r="J36" s="1630"/>
      <c r="K36" s="1630"/>
      <c r="L36" s="1630"/>
      <c r="M36" s="1630"/>
      <c r="N36" s="1630"/>
      <c r="O36" s="1630"/>
      <c r="P36" s="1630"/>
      <c r="Q36" s="1630"/>
      <c r="R36" s="1630"/>
      <c r="S36" s="1630"/>
      <c r="T36" s="1630"/>
      <c r="U36" s="1630"/>
      <c r="V36" s="1630"/>
      <c r="W36" s="1630"/>
      <c r="X36" s="1630"/>
      <c r="Y36" s="1630"/>
      <c r="Z36" s="1630"/>
      <c r="AA36" s="1630"/>
      <c r="AB36" s="1630"/>
      <c r="AC36" s="1630"/>
      <c r="AD36" s="1630"/>
      <c r="AE36" s="1630"/>
      <c r="AF36" s="154"/>
    </row>
    <row r="37" spans="1:32" s="149" customFormat="1" ht="409.5">
      <c r="A37" s="156">
        <v>65</v>
      </c>
      <c r="B37" s="217">
        <v>1</v>
      </c>
      <c r="C37" s="160" t="s">
        <v>355</v>
      </c>
      <c r="D37" s="161" t="s">
        <v>356</v>
      </c>
      <c r="E37" s="162" t="s">
        <v>357</v>
      </c>
      <c r="F37" s="163">
        <v>13</v>
      </c>
      <c r="G37" s="163"/>
      <c r="H37" s="132">
        <v>2</v>
      </c>
      <c r="I37" s="132">
        <v>7000</v>
      </c>
      <c r="J37" s="132">
        <f>I37*F37*(G37+H37)</f>
        <v>182000</v>
      </c>
      <c r="K37" s="127">
        <v>8002</v>
      </c>
      <c r="L37" s="132">
        <f>SUM(K37*F37*G37)</f>
        <v>0</v>
      </c>
      <c r="M37" s="127">
        <v>6402</v>
      </c>
      <c r="N37" s="132">
        <f>M37*F37*H37</f>
        <v>166452</v>
      </c>
      <c r="O37" s="164">
        <v>10000</v>
      </c>
      <c r="P37" s="164">
        <f>O37*(G37+H37)</f>
        <v>20000</v>
      </c>
      <c r="Q37" s="164">
        <v>33854</v>
      </c>
      <c r="R37" s="132">
        <f>J37+L37+N37+P37+Q37</f>
        <v>402306</v>
      </c>
      <c r="S37" s="163"/>
      <c r="T37" s="132"/>
      <c r="U37" s="163"/>
      <c r="V37" s="132"/>
      <c r="W37" s="164"/>
      <c r="X37" s="164"/>
      <c r="Y37" s="164"/>
      <c r="Z37" s="164"/>
      <c r="AA37" s="164"/>
      <c r="AB37" s="164"/>
      <c r="AC37" s="164"/>
      <c r="AD37" s="132"/>
      <c r="AE37" s="132">
        <f>AD37+R37</f>
        <v>402306</v>
      </c>
      <c r="AF37" s="148"/>
    </row>
    <row r="38" spans="1:32" s="183" customFormat="1" ht="409.5">
      <c r="A38" s="156">
        <v>66</v>
      </c>
      <c r="B38" s="135">
        <v>2</v>
      </c>
      <c r="C38" s="160" t="s">
        <v>307</v>
      </c>
      <c r="D38" s="161" t="s">
        <v>318</v>
      </c>
      <c r="E38" s="162" t="s">
        <v>358</v>
      </c>
      <c r="F38" s="163">
        <v>14</v>
      </c>
      <c r="G38" s="163"/>
      <c r="H38" s="132">
        <v>2</v>
      </c>
      <c r="I38" s="132">
        <v>7000</v>
      </c>
      <c r="J38" s="132">
        <f>I38*F38*(G38+H38)</f>
        <v>196000</v>
      </c>
      <c r="K38" s="127">
        <v>8002</v>
      </c>
      <c r="L38" s="132">
        <f>SUM(K38*F38*G38)</f>
        <v>0</v>
      </c>
      <c r="M38" s="127">
        <v>6402</v>
      </c>
      <c r="N38" s="132">
        <f>M38*F38*H38</f>
        <v>179256</v>
      </c>
      <c r="O38" s="164">
        <v>10000</v>
      </c>
      <c r="P38" s="164">
        <f>O38*(G38+H38)</f>
        <v>20000</v>
      </c>
      <c r="Q38" s="164"/>
      <c r="R38" s="132">
        <f>J38+L38+N38+P38+Q38</f>
        <v>395256</v>
      </c>
      <c r="S38" s="163"/>
      <c r="T38" s="132"/>
      <c r="U38" s="163"/>
      <c r="V38" s="132"/>
      <c r="W38" s="164"/>
      <c r="X38" s="164"/>
      <c r="Y38" s="164"/>
      <c r="Z38" s="164"/>
      <c r="AA38" s="164"/>
      <c r="AB38" s="164"/>
      <c r="AC38" s="164"/>
      <c r="AD38" s="132"/>
      <c r="AE38" s="132">
        <f>AD38+R38</f>
        <v>395256</v>
      </c>
      <c r="AF38" s="182"/>
    </row>
    <row r="39" spans="1:32" s="149" customFormat="1" ht="409.5">
      <c r="A39" s="156">
        <v>68</v>
      </c>
      <c r="B39" s="135">
        <v>4</v>
      </c>
      <c r="C39" s="160" t="s">
        <v>301</v>
      </c>
      <c r="D39" s="161" t="s">
        <v>359</v>
      </c>
      <c r="E39" s="162" t="s">
        <v>360</v>
      </c>
      <c r="F39" s="163">
        <v>18</v>
      </c>
      <c r="G39" s="163"/>
      <c r="H39" s="132">
        <v>2</v>
      </c>
      <c r="I39" s="132">
        <v>7000</v>
      </c>
      <c r="J39" s="132">
        <f>I39*F39*(G39+H39)</f>
        <v>252000</v>
      </c>
      <c r="K39" s="127">
        <v>8002</v>
      </c>
      <c r="L39" s="132">
        <f>SUM(K39*F39*G39)</f>
        <v>0</v>
      </c>
      <c r="M39" s="127">
        <v>6402</v>
      </c>
      <c r="N39" s="132">
        <f>M39*F39*H39</f>
        <v>230472</v>
      </c>
      <c r="O39" s="164">
        <v>10000</v>
      </c>
      <c r="P39" s="164">
        <f>O39*(G39+H39)</f>
        <v>20000</v>
      </c>
      <c r="Q39" s="164"/>
      <c r="R39" s="132">
        <f>J39+L39+N39+P39+Q39</f>
        <v>502472</v>
      </c>
      <c r="S39" s="163"/>
      <c r="T39" s="132"/>
      <c r="U39" s="163"/>
      <c r="V39" s="132"/>
      <c r="W39" s="164"/>
      <c r="X39" s="164"/>
      <c r="Y39" s="164"/>
      <c r="Z39" s="164"/>
      <c r="AA39" s="164"/>
      <c r="AB39" s="164"/>
      <c r="AC39" s="164"/>
      <c r="AD39" s="132"/>
      <c r="AE39" s="132">
        <f>AD39+R39</f>
        <v>502472</v>
      </c>
      <c r="AF39" s="148"/>
    </row>
    <row r="40" spans="1:32" s="149" customFormat="1" ht="409.5">
      <c r="A40" s="156">
        <v>69</v>
      </c>
      <c r="B40" s="217">
        <v>5</v>
      </c>
      <c r="C40" s="160" t="s">
        <v>312</v>
      </c>
      <c r="D40" s="161" t="s">
        <v>361</v>
      </c>
      <c r="E40" s="162" t="s">
        <v>360</v>
      </c>
      <c r="F40" s="163">
        <v>18</v>
      </c>
      <c r="G40" s="163"/>
      <c r="H40" s="132">
        <v>2</v>
      </c>
      <c r="I40" s="132">
        <v>7000</v>
      </c>
      <c r="J40" s="132">
        <f>I40*F40*(G40+H40)</f>
        <v>252000</v>
      </c>
      <c r="K40" s="127">
        <v>8002</v>
      </c>
      <c r="L40" s="132">
        <f>SUM(K40*F40*G40)</f>
        <v>0</v>
      </c>
      <c r="M40" s="127">
        <v>6402</v>
      </c>
      <c r="N40" s="132">
        <f>M40*F40*H40</f>
        <v>230472</v>
      </c>
      <c r="O40" s="164">
        <v>10000</v>
      </c>
      <c r="P40" s="164">
        <f>O40*(G40+H40)</f>
        <v>20000</v>
      </c>
      <c r="Q40" s="164"/>
      <c r="R40" s="132">
        <f>J40+L40+N40+P40+Q40</f>
        <v>502472</v>
      </c>
      <c r="S40" s="163"/>
      <c r="T40" s="132"/>
      <c r="U40" s="163"/>
      <c r="V40" s="132"/>
      <c r="W40" s="164"/>
      <c r="X40" s="164"/>
      <c r="Y40" s="164"/>
      <c r="Z40" s="164"/>
      <c r="AA40" s="164"/>
      <c r="AB40" s="164"/>
      <c r="AC40" s="164"/>
      <c r="AD40" s="132"/>
      <c r="AE40" s="132">
        <f>AD40+R40</f>
        <v>502472</v>
      </c>
      <c r="AF40" s="148"/>
    </row>
    <row r="41" spans="1:32" s="191" customFormat="1" ht="180.6" customHeight="1">
      <c r="A41" s="156">
        <v>71</v>
      </c>
      <c r="B41" s="217">
        <v>7</v>
      </c>
      <c r="C41" s="167" t="s">
        <v>364</v>
      </c>
      <c r="D41" s="168" t="s">
        <v>310</v>
      </c>
      <c r="E41" s="167" t="s">
        <v>365</v>
      </c>
      <c r="F41" s="185">
        <v>10</v>
      </c>
      <c r="G41" s="210"/>
      <c r="H41" s="210">
        <v>2</v>
      </c>
      <c r="I41" s="169"/>
      <c r="J41" s="172"/>
      <c r="K41" s="169"/>
      <c r="L41" s="188"/>
      <c r="M41" s="173"/>
      <c r="N41" s="173"/>
      <c r="O41" s="173"/>
      <c r="P41" s="173"/>
      <c r="Q41" s="173"/>
      <c r="R41" s="173">
        <v>0</v>
      </c>
      <c r="S41" s="192">
        <v>35000</v>
      </c>
      <c r="T41" s="169">
        <f>S41*F41*(G41+H41)</f>
        <v>700000</v>
      </c>
      <c r="U41" s="192">
        <v>25000</v>
      </c>
      <c r="V41" s="169">
        <f>U41*F41*(G41+H41)</f>
        <v>500000</v>
      </c>
      <c r="W41" s="192">
        <v>15000</v>
      </c>
      <c r="X41" s="169">
        <f>W41*(G41+H41)</f>
        <v>30000</v>
      </c>
      <c r="Y41" s="192">
        <v>400000</v>
      </c>
      <c r="Z41" s="169">
        <f>Y41*(G41+H41)</f>
        <v>800000</v>
      </c>
      <c r="AA41" s="192">
        <f>40000*(G41+H41)</f>
        <v>80000</v>
      </c>
      <c r="AB41" s="192">
        <v>0</v>
      </c>
      <c r="AC41" s="192">
        <v>0</v>
      </c>
      <c r="AD41" s="132">
        <f>T41+V41+X41+Z41+AA41+AB41+AC41</f>
        <v>2110000</v>
      </c>
      <c r="AE41" s="214">
        <f>AA41+Z41+X41+V41+T41</f>
        <v>2110000</v>
      </c>
    </row>
    <row r="42" spans="1:32" s="191" customFormat="1" ht="180.6" customHeight="1">
      <c r="A42" s="156">
        <v>72</v>
      </c>
      <c r="B42" s="135">
        <v>8</v>
      </c>
      <c r="C42" s="218" t="s">
        <v>341</v>
      </c>
      <c r="D42" s="121" t="s">
        <v>318</v>
      </c>
      <c r="E42" s="167" t="s">
        <v>339</v>
      </c>
      <c r="F42" s="123">
        <v>10</v>
      </c>
      <c r="G42" s="210"/>
      <c r="H42" s="123">
        <v>2</v>
      </c>
      <c r="I42" s="169"/>
      <c r="J42" s="172"/>
      <c r="K42" s="169"/>
      <c r="L42" s="188"/>
      <c r="M42" s="173"/>
      <c r="N42" s="173"/>
      <c r="O42" s="173"/>
      <c r="P42" s="173"/>
      <c r="Q42" s="173"/>
      <c r="R42" s="173">
        <v>0</v>
      </c>
      <c r="S42" s="192">
        <v>25000</v>
      </c>
      <c r="T42" s="169">
        <f>S42*F42*(G42+H42)</f>
        <v>500000</v>
      </c>
      <c r="U42" s="192">
        <v>20000</v>
      </c>
      <c r="V42" s="169">
        <f>U42*F42*(G42+H42)</f>
        <v>400000</v>
      </c>
      <c r="W42" s="192">
        <v>15000</v>
      </c>
      <c r="X42" s="169">
        <f>W42*(G42+H42)</f>
        <v>30000</v>
      </c>
      <c r="Y42" s="192">
        <v>300000</v>
      </c>
      <c r="Z42" s="169">
        <f>Y42*(G42+H42)</f>
        <v>600000</v>
      </c>
      <c r="AA42" s="192">
        <f>40000*(G42+H42)</f>
        <v>80000</v>
      </c>
      <c r="AB42" s="192">
        <v>0</v>
      </c>
      <c r="AC42" s="192">
        <v>0</v>
      </c>
      <c r="AD42" s="132">
        <f>T42+V42+X42+Z42+AA42+AB42+AC42</f>
        <v>1610000</v>
      </c>
      <c r="AE42" s="214">
        <f>AA42+Z42+X42+V42+T42</f>
        <v>1610000</v>
      </c>
    </row>
    <row r="43" spans="1:32" s="181" customFormat="1" ht="96.75" customHeight="1">
      <c r="A43" s="1635" t="s">
        <v>233</v>
      </c>
      <c r="B43" s="1635"/>
      <c r="C43" s="1635"/>
      <c r="D43" s="1635"/>
      <c r="E43" s="1635"/>
      <c r="F43" s="1635"/>
      <c r="G43" s="1635"/>
      <c r="H43" s="195"/>
      <c r="I43" s="179"/>
      <c r="J43" s="179">
        <f>SUM(J37:J42)</f>
        <v>882000</v>
      </c>
      <c r="K43" s="179"/>
      <c r="L43" s="179">
        <f>SUM(L37:L42)</f>
        <v>0</v>
      </c>
      <c r="M43" s="179"/>
      <c r="N43" s="179">
        <f>SUM(N37:N42)</f>
        <v>806652</v>
      </c>
      <c r="O43" s="178"/>
      <c r="P43" s="178">
        <f>SUM(P37:P42)</f>
        <v>80000</v>
      </c>
      <c r="Q43" s="178">
        <f>SUM(Q37:Q42)</f>
        <v>33854</v>
      </c>
      <c r="R43" s="178">
        <f>J43+L43+N43+P43+Q43</f>
        <v>1802506</v>
      </c>
      <c r="S43" s="178"/>
      <c r="T43" s="178">
        <f>SUM(T37:T42)</f>
        <v>1200000</v>
      </c>
      <c r="U43" s="178"/>
      <c r="V43" s="178">
        <f>SUM(V37:V42)</f>
        <v>900000</v>
      </c>
      <c r="W43" s="178"/>
      <c r="X43" s="178">
        <f>SUM(X37:X42)</f>
        <v>60000</v>
      </c>
      <c r="Y43" s="178"/>
      <c r="Z43" s="178">
        <f>SUM(Z37:Z42)</f>
        <v>1400000</v>
      </c>
      <c r="AA43" s="178">
        <f>SUM(AA37:AA42)</f>
        <v>160000</v>
      </c>
      <c r="AB43" s="179">
        <f>SUM(AB37:AB42)</f>
        <v>0</v>
      </c>
      <c r="AC43" s="179">
        <f>SUM(AC37:AC42)</f>
        <v>0</v>
      </c>
      <c r="AD43" s="179">
        <f>T43+V43+X43+Z43+AA43+AB43+AC43</f>
        <v>3720000</v>
      </c>
      <c r="AE43" s="178">
        <f>R43+AD43</f>
        <v>5522506</v>
      </c>
      <c r="AF43" s="180"/>
    </row>
    <row r="44" spans="1:32" s="181" customFormat="1" ht="96.75" customHeight="1">
      <c r="A44" s="1630" t="s">
        <v>366</v>
      </c>
      <c r="B44" s="1630"/>
      <c r="C44" s="1630"/>
      <c r="D44" s="1630"/>
      <c r="E44" s="1630"/>
      <c r="F44" s="1630"/>
      <c r="G44" s="1630"/>
      <c r="H44" s="1630"/>
      <c r="I44" s="1630"/>
      <c r="J44" s="1630"/>
      <c r="K44" s="1630"/>
      <c r="L44" s="1630"/>
      <c r="M44" s="1630"/>
      <c r="N44" s="1630"/>
      <c r="O44" s="1630"/>
      <c r="P44" s="1630"/>
      <c r="Q44" s="1630"/>
      <c r="R44" s="1630"/>
      <c r="S44" s="1630"/>
      <c r="T44" s="1630"/>
      <c r="U44" s="1630"/>
      <c r="V44" s="1630"/>
      <c r="W44" s="1630"/>
      <c r="X44" s="1630"/>
      <c r="Y44" s="1630"/>
      <c r="Z44" s="1630"/>
      <c r="AA44" s="1630"/>
      <c r="AB44" s="1630"/>
      <c r="AC44" s="1630"/>
      <c r="AD44" s="1630"/>
      <c r="AE44" s="1630"/>
      <c r="AF44" s="180"/>
    </row>
    <row r="45" spans="1:32" s="149" customFormat="1" ht="409.5">
      <c r="A45" s="158">
        <v>73</v>
      </c>
      <c r="B45" s="184">
        <v>1</v>
      </c>
      <c r="C45" s="160" t="s">
        <v>367</v>
      </c>
      <c r="D45" s="161" t="s">
        <v>368</v>
      </c>
      <c r="E45" s="162" t="s">
        <v>369</v>
      </c>
      <c r="F45" s="163">
        <v>18</v>
      </c>
      <c r="G45" s="163"/>
      <c r="H45" s="132">
        <v>2</v>
      </c>
      <c r="I45" s="132">
        <v>7000</v>
      </c>
      <c r="J45" s="132">
        <f>I45*F45*(G45+H45)</f>
        <v>252000</v>
      </c>
      <c r="K45" s="132">
        <v>7658</v>
      </c>
      <c r="L45" s="132">
        <f>SUM(K45*F45*G45)</f>
        <v>0</v>
      </c>
      <c r="M45" s="127">
        <v>6402</v>
      </c>
      <c r="N45" s="132">
        <f>M45*F45*H45</f>
        <v>230472</v>
      </c>
      <c r="O45" s="164">
        <v>10000</v>
      </c>
      <c r="P45" s="164">
        <f>O45*(G45+H45)</f>
        <v>20000</v>
      </c>
      <c r="Q45" s="164"/>
      <c r="R45" s="132">
        <f>J45+L45+N45+P45+Q45</f>
        <v>502472</v>
      </c>
      <c r="S45" s="163"/>
      <c r="T45" s="132"/>
      <c r="U45" s="163"/>
      <c r="V45" s="132"/>
      <c r="W45" s="164"/>
      <c r="X45" s="164"/>
      <c r="Y45" s="164"/>
      <c r="Z45" s="164"/>
      <c r="AA45" s="164"/>
      <c r="AB45" s="164"/>
      <c r="AC45" s="164"/>
      <c r="AD45" s="132"/>
      <c r="AE45" s="132">
        <f>AD45+R45</f>
        <v>502472</v>
      </c>
      <c r="AF45" s="148"/>
    </row>
    <row r="46" spans="1:32" s="149" customFormat="1" ht="409.5">
      <c r="A46" s="158">
        <v>74</v>
      </c>
      <c r="B46" s="184">
        <v>2</v>
      </c>
      <c r="C46" s="160" t="s">
        <v>370</v>
      </c>
      <c r="D46" s="161" t="s">
        <v>371</v>
      </c>
      <c r="E46" s="162" t="s">
        <v>369</v>
      </c>
      <c r="F46" s="163">
        <v>18</v>
      </c>
      <c r="G46" s="163"/>
      <c r="H46" s="132">
        <v>2</v>
      </c>
      <c r="I46" s="132">
        <v>7000</v>
      </c>
      <c r="J46" s="132">
        <f>I46*F46*(G46+H46)</f>
        <v>252000</v>
      </c>
      <c r="K46" s="132">
        <v>7658</v>
      </c>
      <c r="L46" s="132">
        <f>SUM(K46*F46*G46)</f>
        <v>0</v>
      </c>
      <c r="M46" s="127">
        <v>6402</v>
      </c>
      <c r="N46" s="132">
        <f>M46*F46*H46</f>
        <v>230472</v>
      </c>
      <c r="O46" s="164">
        <v>10000</v>
      </c>
      <c r="P46" s="164">
        <f>O46*(G46+H46)</f>
        <v>20000</v>
      </c>
      <c r="Q46" s="164"/>
      <c r="R46" s="132">
        <f>J46+L46+N46+P46+Q46</f>
        <v>502472</v>
      </c>
      <c r="S46" s="163"/>
      <c r="T46" s="132"/>
      <c r="U46" s="163"/>
      <c r="V46" s="132"/>
      <c r="W46" s="164"/>
      <c r="X46" s="164"/>
      <c r="Y46" s="164"/>
      <c r="Z46" s="164"/>
      <c r="AA46" s="164"/>
      <c r="AB46" s="164"/>
      <c r="AC46" s="164"/>
      <c r="AD46" s="132"/>
      <c r="AE46" s="132">
        <f>AD46+R46</f>
        <v>502472</v>
      </c>
      <c r="AF46" s="148"/>
    </row>
    <row r="47" spans="1:32" s="149" customFormat="1" ht="141">
      <c r="A47" s="158">
        <v>78</v>
      </c>
      <c r="B47" s="184">
        <v>6</v>
      </c>
      <c r="C47" s="160" t="s">
        <v>315</v>
      </c>
      <c r="D47" s="161" t="s">
        <v>374</v>
      </c>
      <c r="E47" s="162" t="s">
        <v>317</v>
      </c>
      <c r="F47" s="163">
        <v>7</v>
      </c>
      <c r="G47" s="163"/>
      <c r="H47" s="132">
        <v>2</v>
      </c>
      <c r="I47" s="132"/>
      <c r="J47" s="132"/>
      <c r="K47" s="132"/>
      <c r="L47" s="132"/>
      <c r="M47" s="132"/>
      <c r="N47" s="132"/>
      <c r="O47" s="164"/>
      <c r="P47" s="164"/>
      <c r="Q47" s="164"/>
      <c r="R47" s="132">
        <f>J47+L47+N47+P47+Q47</f>
        <v>0</v>
      </c>
      <c r="S47" s="163">
        <v>40000</v>
      </c>
      <c r="T47" s="132">
        <f>S47*F47*(G47+H47)</f>
        <v>560000</v>
      </c>
      <c r="U47" s="164">
        <v>40000</v>
      </c>
      <c r="V47" s="132">
        <f>U47*F47*(G47+H47)</f>
        <v>560000</v>
      </c>
      <c r="W47" s="164">
        <v>1500</v>
      </c>
      <c r="X47" s="164">
        <f>W47*(G47+H47)*F47</f>
        <v>21000</v>
      </c>
      <c r="Y47" s="164">
        <v>400000</v>
      </c>
      <c r="Z47" s="164">
        <f>Y47*(G47+H47)</f>
        <v>800000</v>
      </c>
      <c r="AA47" s="164"/>
      <c r="AB47" s="164">
        <v>0</v>
      </c>
      <c r="AC47" s="164">
        <v>0</v>
      </c>
      <c r="AD47" s="132">
        <f>T47+V47+X47+Z47+AA47+AB47+AC47</f>
        <v>1941000</v>
      </c>
      <c r="AE47" s="132">
        <f>AD47+R47</f>
        <v>1941000</v>
      </c>
      <c r="AF47" s="148"/>
    </row>
    <row r="48" spans="1:32" s="191" customFormat="1" ht="177" customHeight="1">
      <c r="A48" s="158">
        <v>81</v>
      </c>
      <c r="B48" s="184">
        <v>9</v>
      </c>
      <c r="C48" s="167" t="s">
        <v>379</v>
      </c>
      <c r="D48" s="168" t="s">
        <v>380</v>
      </c>
      <c r="E48" s="167" t="s">
        <v>377</v>
      </c>
      <c r="F48" s="185">
        <v>18</v>
      </c>
      <c r="G48" s="210"/>
      <c r="H48" s="210">
        <v>2</v>
      </c>
      <c r="I48" s="169">
        <v>9000</v>
      </c>
      <c r="J48" s="172">
        <f>I48*F48*(G48+H48)</f>
        <v>324000</v>
      </c>
      <c r="K48" s="169">
        <v>7658</v>
      </c>
      <c r="L48" s="188">
        <f>K48*F48*G48</f>
        <v>0</v>
      </c>
      <c r="M48" s="173">
        <v>5834</v>
      </c>
      <c r="N48" s="173">
        <f>M48*H48*F48</f>
        <v>210024</v>
      </c>
      <c r="O48" s="173">
        <v>10000</v>
      </c>
      <c r="P48" s="173">
        <f>O48*H48*2</f>
        <v>40000</v>
      </c>
      <c r="Q48" s="173">
        <v>0</v>
      </c>
      <c r="R48" s="173">
        <f>P48+Q48+N48+L48+J48</f>
        <v>574024</v>
      </c>
      <c r="S48" s="192"/>
      <c r="T48" s="169"/>
      <c r="U48" s="192"/>
      <c r="V48" s="169"/>
      <c r="W48" s="192"/>
      <c r="X48" s="169"/>
      <c r="Y48" s="192"/>
      <c r="Z48" s="169"/>
      <c r="AA48" s="192"/>
      <c r="AB48" s="192"/>
      <c r="AC48" s="192">
        <v>0</v>
      </c>
      <c r="AD48" s="173">
        <v>0</v>
      </c>
      <c r="AE48" s="214">
        <f>AD48+R48</f>
        <v>574024</v>
      </c>
    </row>
    <row r="49" spans="1:32" s="155" customFormat="1" ht="96.75" customHeight="1">
      <c r="A49" s="1635" t="s">
        <v>233</v>
      </c>
      <c r="B49" s="1635"/>
      <c r="C49" s="1635"/>
      <c r="D49" s="1635"/>
      <c r="E49" s="1635"/>
      <c r="F49" s="1635"/>
      <c r="G49" s="1635"/>
      <c r="H49" s="195"/>
      <c r="I49" s="179"/>
      <c r="J49" s="179">
        <f>SUM(J45:J48)</f>
        <v>828000</v>
      </c>
      <c r="K49" s="179"/>
      <c r="L49" s="179">
        <f>SUM(L45:L48)</f>
        <v>0</v>
      </c>
      <c r="M49" s="179"/>
      <c r="N49" s="179">
        <f>SUM(N45:N48)</f>
        <v>670968</v>
      </c>
      <c r="O49" s="178"/>
      <c r="P49" s="178">
        <f>SUM(P45:P48)</f>
        <v>80000</v>
      </c>
      <c r="Q49" s="178">
        <f>SUM(Q45:Q48)</f>
        <v>0</v>
      </c>
      <c r="R49" s="178">
        <f>J49+L49+N49+P49+Q49</f>
        <v>1578968</v>
      </c>
      <c r="S49" s="178"/>
      <c r="T49" s="178">
        <f>SUM(T45:T48)</f>
        <v>560000</v>
      </c>
      <c r="U49" s="178"/>
      <c r="V49" s="178">
        <f>SUM(V45:V48)</f>
        <v>560000</v>
      </c>
      <c r="W49" s="178"/>
      <c r="X49" s="178">
        <f>SUM(X45:X48)</f>
        <v>21000</v>
      </c>
      <c r="Y49" s="178"/>
      <c r="Z49" s="178">
        <f>SUM(Z45:Z48)</f>
        <v>800000</v>
      </c>
      <c r="AA49" s="178">
        <f>SUM(AA45:AA48)</f>
        <v>0</v>
      </c>
      <c r="AB49" s="179">
        <f>SUM(AB45:AB48)</f>
        <v>0</v>
      </c>
      <c r="AC49" s="179">
        <f>SUM(AC45:AC48)</f>
        <v>0</v>
      </c>
      <c r="AD49" s="179">
        <f>T49+V49+X49+Z49+AA49+AB49+AC49</f>
        <v>1941000</v>
      </c>
      <c r="AE49" s="178">
        <f>R49+AD49</f>
        <v>3519968</v>
      </c>
      <c r="AF49" s="154"/>
    </row>
    <row r="50" spans="1:32" s="181" customFormat="1" ht="96.75" customHeight="1">
      <c r="A50" s="1637" t="s">
        <v>381</v>
      </c>
      <c r="B50" s="1637"/>
      <c r="C50" s="1637"/>
      <c r="D50" s="1637"/>
      <c r="E50" s="1637"/>
      <c r="F50" s="1637"/>
      <c r="G50" s="1637"/>
      <c r="H50" s="1637"/>
      <c r="I50" s="1637"/>
      <c r="J50" s="1637"/>
      <c r="K50" s="1637"/>
      <c r="L50" s="1637"/>
      <c r="M50" s="1637"/>
      <c r="N50" s="1637"/>
      <c r="O50" s="1637"/>
      <c r="P50" s="1637"/>
      <c r="Q50" s="1637"/>
      <c r="R50" s="1637"/>
      <c r="S50" s="1637"/>
      <c r="T50" s="1637"/>
      <c r="U50" s="1637"/>
      <c r="V50" s="1637"/>
      <c r="W50" s="1637"/>
      <c r="X50" s="1637"/>
      <c r="Y50" s="1637"/>
      <c r="Z50" s="1637"/>
      <c r="AA50" s="1637"/>
      <c r="AB50" s="1637"/>
      <c r="AC50" s="1637"/>
      <c r="AD50" s="1637"/>
      <c r="AE50" s="1637"/>
      <c r="AF50" s="180"/>
    </row>
    <row r="51" spans="1:32" s="149" customFormat="1" ht="345.75" customHeight="1">
      <c r="A51" s="219">
        <v>85</v>
      </c>
      <c r="B51" s="135">
        <v>4</v>
      </c>
      <c r="C51" s="160" t="s">
        <v>385</v>
      </c>
      <c r="D51" s="161" t="s">
        <v>386</v>
      </c>
      <c r="E51" s="162" t="s">
        <v>387</v>
      </c>
      <c r="F51" s="163">
        <v>3</v>
      </c>
      <c r="G51" s="163"/>
      <c r="H51" s="132">
        <v>2</v>
      </c>
      <c r="I51" s="132">
        <v>9000</v>
      </c>
      <c r="J51" s="132">
        <f>I51*F51*(G51+H51)</f>
        <v>54000</v>
      </c>
      <c r="K51" s="127">
        <v>8002</v>
      </c>
      <c r="L51" s="132">
        <f>SUM(K51*F51*G51)</f>
        <v>0</v>
      </c>
      <c r="M51" s="127">
        <v>6402</v>
      </c>
      <c r="N51" s="132">
        <f>M51*F51*H51</f>
        <v>38412</v>
      </c>
      <c r="O51" s="164">
        <v>10000</v>
      </c>
      <c r="P51" s="164">
        <f>O51*H51</f>
        <v>20000</v>
      </c>
      <c r="Q51" s="164"/>
      <c r="R51" s="132">
        <f>J51+L51+N51+P51+Q51</f>
        <v>112412</v>
      </c>
      <c r="S51" s="163"/>
      <c r="T51" s="132"/>
      <c r="U51" s="163"/>
      <c r="V51" s="132"/>
      <c r="W51" s="164"/>
      <c r="X51" s="164"/>
      <c r="Y51" s="164"/>
      <c r="Z51" s="164"/>
      <c r="AA51" s="164"/>
      <c r="AB51" s="164"/>
      <c r="AC51" s="164"/>
      <c r="AD51" s="132"/>
      <c r="AE51" s="132">
        <f>AD51+R51</f>
        <v>112412</v>
      </c>
      <c r="AF51" s="148"/>
    </row>
    <row r="52" spans="1:32" s="149" customFormat="1" ht="409.5">
      <c r="A52" s="219">
        <v>86</v>
      </c>
      <c r="B52" s="135">
        <v>5</v>
      </c>
      <c r="C52" s="160" t="s">
        <v>301</v>
      </c>
      <c r="D52" s="161" t="s">
        <v>386</v>
      </c>
      <c r="E52" s="162" t="s">
        <v>388</v>
      </c>
      <c r="F52" s="163">
        <v>18</v>
      </c>
      <c r="G52" s="163"/>
      <c r="H52" s="132">
        <v>2</v>
      </c>
      <c r="I52" s="132">
        <v>9000</v>
      </c>
      <c r="J52" s="132">
        <f>I52*F52*(G52+H52)</f>
        <v>324000</v>
      </c>
      <c r="K52" s="127">
        <v>8002</v>
      </c>
      <c r="L52" s="132">
        <f>SUM(K52*F52*G52)</f>
        <v>0</v>
      </c>
      <c r="M52" s="127">
        <v>6402</v>
      </c>
      <c r="N52" s="132">
        <f>M52*F52*H52</f>
        <v>230472</v>
      </c>
      <c r="O52" s="164">
        <v>10000</v>
      </c>
      <c r="P52" s="164">
        <v>20000</v>
      </c>
      <c r="Q52" s="164"/>
      <c r="R52" s="132">
        <f>J52+L52+N52+P52+Q52</f>
        <v>574472</v>
      </c>
      <c r="S52" s="163"/>
      <c r="T52" s="132"/>
      <c r="U52" s="163"/>
      <c r="V52" s="132"/>
      <c r="W52" s="164"/>
      <c r="X52" s="164"/>
      <c r="Y52" s="164"/>
      <c r="Z52" s="164"/>
      <c r="AA52" s="164"/>
      <c r="AB52" s="164"/>
      <c r="AC52" s="164"/>
      <c r="AD52" s="132"/>
      <c r="AE52" s="132">
        <f>AD52+R52</f>
        <v>574472</v>
      </c>
      <c r="AF52" s="148"/>
    </row>
    <row r="53" spans="1:32" s="222" customFormat="1" ht="141">
      <c r="A53" s="219">
        <v>88</v>
      </c>
      <c r="B53" s="135">
        <v>7</v>
      </c>
      <c r="C53" s="162" t="s">
        <v>390</v>
      </c>
      <c r="D53" s="161" t="s">
        <v>371</v>
      </c>
      <c r="E53" s="162" t="s">
        <v>365</v>
      </c>
      <c r="F53" s="220">
        <v>8</v>
      </c>
      <c r="G53" s="220"/>
      <c r="H53" s="221">
        <v>2</v>
      </c>
      <c r="I53" s="221">
        <v>0</v>
      </c>
      <c r="J53" s="221">
        <v>0</v>
      </c>
      <c r="K53" s="221">
        <v>0</v>
      </c>
      <c r="L53" s="221">
        <v>0</v>
      </c>
      <c r="M53" s="221">
        <v>0</v>
      </c>
      <c r="N53" s="221">
        <v>0</v>
      </c>
      <c r="O53" s="164">
        <v>0</v>
      </c>
      <c r="P53" s="164">
        <v>0</v>
      </c>
      <c r="Q53" s="164">
        <v>0</v>
      </c>
      <c r="R53" s="221">
        <v>0</v>
      </c>
      <c r="S53" s="220">
        <v>40000</v>
      </c>
      <c r="T53" s="221">
        <f>S53*F53*(G53+H53)</f>
        <v>640000</v>
      </c>
      <c r="U53" s="220">
        <v>20000</v>
      </c>
      <c r="V53" s="221">
        <f>U53*F53*(G53+H53)</f>
        <v>320000</v>
      </c>
      <c r="W53" s="164">
        <v>15000</v>
      </c>
      <c r="X53" s="164">
        <f>W53*(G53+H53)</f>
        <v>30000</v>
      </c>
      <c r="Y53" s="164">
        <v>400000</v>
      </c>
      <c r="Z53" s="164">
        <f>Y53*(G53+H53)</f>
        <v>800000</v>
      </c>
      <c r="AA53" s="164">
        <v>0</v>
      </c>
      <c r="AB53" s="164">
        <v>0</v>
      </c>
      <c r="AC53" s="164">
        <v>0</v>
      </c>
      <c r="AD53" s="221">
        <f>T53+V53+X53+Z53+AA53+AB53+AC53</f>
        <v>1790000</v>
      </c>
      <c r="AE53" s="221">
        <f>R53+AD53</f>
        <v>1790000</v>
      </c>
    </row>
    <row r="54" spans="1:32" s="222" customFormat="1" ht="409.5">
      <c r="A54" s="219">
        <v>91</v>
      </c>
      <c r="B54" s="135">
        <v>10</v>
      </c>
      <c r="C54" s="162" t="s">
        <v>392</v>
      </c>
      <c r="D54" s="161" t="s">
        <v>393</v>
      </c>
      <c r="E54" s="162" t="s">
        <v>382</v>
      </c>
      <c r="F54" s="220">
        <v>18</v>
      </c>
      <c r="G54" s="220"/>
      <c r="H54" s="221">
        <v>2</v>
      </c>
      <c r="I54" s="221">
        <v>9000</v>
      </c>
      <c r="J54" s="221">
        <f>I54*F54*(G54+H54)</f>
        <v>324000</v>
      </c>
      <c r="K54" s="221">
        <v>7292</v>
      </c>
      <c r="L54" s="221">
        <f>K54*F54*(G54)</f>
        <v>0</v>
      </c>
      <c r="M54" s="221">
        <v>6126</v>
      </c>
      <c r="N54" s="221">
        <f>M54*F54*H54</f>
        <v>220536</v>
      </c>
      <c r="O54" s="164">
        <v>10000</v>
      </c>
      <c r="P54" s="164">
        <f>O54*H54*2</f>
        <v>40000</v>
      </c>
      <c r="Q54" s="164"/>
      <c r="R54" s="221">
        <f>J54+L54+N54+P54+Q54</f>
        <v>584536</v>
      </c>
      <c r="S54" s="220"/>
      <c r="T54" s="221"/>
      <c r="U54" s="220"/>
      <c r="V54" s="221"/>
      <c r="W54" s="164"/>
      <c r="X54" s="164"/>
      <c r="Y54" s="164"/>
      <c r="Z54" s="164"/>
      <c r="AA54" s="164"/>
      <c r="AB54" s="164"/>
      <c r="AC54" s="164"/>
      <c r="AD54" s="221">
        <v>0</v>
      </c>
      <c r="AE54" s="221">
        <f>R54+AD54</f>
        <v>584536</v>
      </c>
    </row>
    <row r="55" spans="1:32" s="222" customFormat="1" ht="141">
      <c r="A55" s="219">
        <v>92</v>
      </c>
      <c r="B55" s="135">
        <v>11</v>
      </c>
      <c r="C55" s="162" t="s">
        <v>334</v>
      </c>
      <c r="D55" s="161" t="s">
        <v>394</v>
      </c>
      <c r="E55" s="162" t="s">
        <v>335</v>
      </c>
      <c r="F55" s="220">
        <v>10</v>
      </c>
      <c r="G55" s="220"/>
      <c r="H55" s="221">
        <v>2</v>
      </c>
      <c r="I55" s="221">
        <v>0</v>
      </c>
      <c r="J55" s="221">
        <v>0</v>
      </c>
      <c r="K55" s="221">
        <v>0</v>
      </c>
      <c r="L55" s="221">
        <v>0</v>
      </c>
      <c r="M55" s="221">
        <v>0</v>
      </c>
      <c r="N55" s="221">
        <v>0</v>
      </c>
      <c r="O55" s="164">
        <v>0</v>
      </c>
      <c r="P55" s="164">
        <v>0</v>
      </c>
      <c r="Q55" s="164">
        <v>0</v>
      </c>
      <c r="R55" s="221">
        <v>0</v>
      </c>
      <c r="S55" s="220">
        <v>40000</v>
      </c>
      <c r="T55" s="221">
        <f>S55*F55*(G55+H55)</f>
        <v>800000</v>
      </c>
      <c r="U55" s="220">
        <v>20000</v>
      </c>
      <c r="V55" s="221">
        <f>U55*F55*(G55+H55)</f>
        <v>400000</v>
      </c>
      <c r="W55" s="164">
        <v>15000</v>
      </c>
      <c r="X55" s="164">
        <f>W55*(G55+H55)</f>
        <v>30000</v>
      </c>
      <c r="Y55" s="164">
        <v>800000</v>
      </c>
      <c r="Z55" s="164">
        <f>Y55*(G55+H55)</f>
        <v>1600000</v>
      </c>
      <c r="AA55" s="164">
        <f>40000*(G55+H55)</f>
        <v>80000</v>
      </c>
      <c r="AB55" s="164">
        <v>0</v>
      </c>
      <c r="AC55" s="164">
        <v>0</v>
      </c>
      <c r="AD55" s="221">
        <f>T55+V55+X55+Z55+AA55+AB55+AC55</f>
        <v>2910000</v>
      </c>
      <c r="AE55" s="221">
        <f>R55+AD55</f>
        <v>2910000</v>
      </c>
    </row>
    <row r="56" spans="1:32" s="181" customFormat="1" ht="75" customHeight="1">
      <c r="A56" s="1635" t="s">
        <v>233</v>
      </c>
      <c r="B56" s="1635"/>
      <c r="C56" s="1635"/>
      <c r="D56" s="1635"/>
      <c r="E56" s="1635"/>
      <c r="F56" s="1635"/>
      <c r="G56" s="1635"/>
      <c r="H56" s="195"/>
      <c r="I56" s="179"/>
      <c r="J56" s="179">
        <f>SUM(J51:J55)</f>
        <v>702000</v>
      </c>
      <c r="K56" s="179"/>
      <c r="L56" s="179">
        <f>SUM(L51:L55)</f>
        <v>0</v>
      </c>
      <c r="M56" s="179"/>
      <c r="N56" s="179">
        <f>SUM(N51:N55)</f>
        <v>489420</v>
      </c>
      <c r="O56" s="178"/>
      <c r="P56" s="178">
        <f>SUM(P51:P55)</f>
        <v>80000</v>
      </c>
      <c r="Q56" s="178">
        <f>SUM(Q51:Q55)</f>
        <v>0</v>
      </c>
      <c r="R56" s="178">
        <f>J56+L56+N56+P56+Q56</f>
        <v>1271420</v>
      </c>
      <c r="S56" s="178"/>
      <c r="T56" s="178">
        <f>SUM(T51:T55)</f>
        <v>1440000</v>
      </c>
      <c r="U56" s="178"/>
      <c r="V56" s="178">
        <f>SUM(V51:V55)</f>
        <v>720000</v>
      </c>
      <c r="W56" s="178"/>
      <c r="X56" s="178">
        <f>SUM(X51:X55)</f>
        <v>60000</v>
      </c>
      <c r="Y56" s="178"/>
      <c r="Z56" s="178">
        <f>SUM(Z51:Z55)</f>
        <v>2400000</v>
      </c>
      <c r="AA56" s="178">
        <f>SUM(AA51:AA55)</f>
        <v>80000</v>
      </c>
      <c r="AB56" s="179">
        <f>SUM(AB51:AB55)</f>
        <v>0</v>
      </c>
      <c r="AC56" s="179">
        <f>SUM(AC51:AC55)</f>
        <v>0</v>
      </c>
      <c r="AD56" s="179">
        <f>T56+V56+X56+Z56+AA56+AB56+AC56</f>
        <v>4700000</v>
      </c>
      <c r="AE56" s="178">
        <f>R56+AD56</f>
        <v>5971420</v>
      </c>
      <c r="AF56" s="180"/>
    </row>
    <row r="57" spans="1:32" s="181" customFormat="1" ht="96.75" customHeight="1">
      <c r="A57" s="1637" t="s">
        <v>395</v>
      </c>
      <c r="B57" s="1637"/>
      <c r="C57" s="1637"/>
      <c r="D57" s="1637"/>
      <c r="E57" s="1637"/>
      <c r="F57" s="1637"/>
      <c r="G57" s="1637"/>
      <c r="H57" s="1637"/>
      <c r="I57" s="1637"/>
      <c r="J57" s="1637"/>
      <c r="K57" s="1637"/>
      <c r="L57" s="1637"/>
      <c r="M57" s="1637"/>
      <c r="N57" s="1637"/>
      <c r="O57" s="1637"/>
      <c r="P57" s="1637"/>
      <c r="Q57" s="1637"/>
      <c r="R57" s="1637"/>
      <c r="S57" s="1637"/>
      <c r="T57" s="1637"/>
      <c r="U57" s="1637"/>
      <c r="V57" s="1637"/>
      <c r="W57" s="1637"/>
      <c r="X57" s="1637"/>
      <c r="Y57" s="1637"/>
      <c r="Z57" s="1637"/>
      <c r="AA57" s="1637"/>
      <c r="AB57" s="1637"/>
      <c r="AC57" s="1637"/>
      <c r="AD57" s="1637"/>
      <c r="AE57" s="1637"/>
      <c r="AF57" s="180"/>
    </row>
    <row r="58" spans="1:32" s="149" customFormat="1" ht="211.5">
      <c r="A58" s="156">
        <v>93</v>
      </c>
      <c r="B58" s="223">
        <v>1</v>
      </c>
      <c r="C58" s="160" t="s">
        <v>385</v>
      </c>
      <c r="D58" s="161" t="s">
        <v>396</v>
      </c>
      <c r="E58" s="162" t="s">
        <v>387</v>
      </c>
      <c r="F58" s="163">
        <v>3</v>
      </c>
      <c r="G58" s="163"/>
      <c r="H58" s="132">
        <v>2</v>
      </c>
      <c r="I58" s="132">
        <v>9000</v>
      </c>
      <c r="J58" s="132">
        <f>I58*F58*(G58+H58)</f>
        <v>54000</v>
      </c>
      <c r="K58" s="127">
        <v>8002</v>
      </c>
      <c r="L58" s="132">
        <f>SUM(K58*F58*G58)</f>
        <v>0</v>
      </c>
      <c r="M58" s="127">
        <v>6402</v>
      </c>
      <c r="N58" s="132">
        <f>M58*F58*H58</f>
        <v>38412</v>
      </c>
      <c r="O58" s="164">
        <v>10000</v>
      </c>
      <c r="P58" s="164">
        <f>O58*H58</f>
        <v>20000</v>
      </c>
      <c r="Q58" s="164"/>
      <c r="R58" s="132">
        <f>J58+L58+N58+P58+Q58</f>
        <v>112412</v>
      </c>
      <c r="S58" s="163"/>
      <c r="T58" s="132"/>
      <c r="U58" s="163"/>
      <c r="V58" s="132"/>
      <c r="W58" s="164"/>
      <c r="X58" s="164"/>
      <c r="Y58" s="164"/>
      <c r="Z58" s="164"/>
      <c r="AA58" s="164"/>
      <c r="AB58" s="164"/>
      <c r="AC58" s="164"/>
      <c r="AD58" s="132"/>
      <c r="AE58" s="132">
        <f>AD58+R58</f>
        <v>112412</v>
      </c>
      <c r="AF58" s="148"/>
    </row>
    <row r="59" spans="1:32" s="222" customFormat="1" ht="409.5">
      <c r="A59" s="219">
        <v>98</v>
      </c>
      <c r="B59" s="217">
        <v>6</v>
      </c>
      <c r="C59" s="162" t="s">
        <v>301</v>
      </c>
      <c r="D59" s="161" t="s">
        <v>371</v>
      </c>
      <c r="E59" s="162" t="s">
        <v>388</v>
      </c>
      <c r="F59" s="220">
        <v>18</v>
      </c>
      <c r="G59" s="220"/>
      <c r="H59" s="221">
        <v>2</v>
      </c>
      <c r="I59" s="221">
        <v>9000</v>
      </c>
      <c r="J59" s="221">
        <f>I59*F59*(G59+H59)</f>
        <v>324000</v>
      </c>
      <c r="K59" s="221">
        <v>7292</v>
      </c>
      <c r="L59" s="221">
        <f>K59*F59*(G59)</f>
        <v>0</v>
      </c>
      <c r="M59" s="221">
        <v>6126</v>
      </c>
      <c r="N59" s="221">
        <f>M59*F59*H59</f>
        <v>220536</v>
      </c>
      <c r="O59" s="164">
        <v>10000</v>
      </c>
      <c r="P59" s="164">
        <f>O59*H59*2</f>
        <v>40000</v>
      </c>
      <c r="Q59" s="164"/>
      <c r="R59" s="221">
        <f>J59+L59+N59+P59+Q59</f>
        <v>584536</v>
      </c>
      <c r="S59" s="220"/>
      <c r="T59" s="221"/>
      <c r="U59" s="220"/>
      <c r="V59" s="221"/>
      <c r="W59" s="164"/>
      <c r="X59" s="164"/>
      <c r="Y59" s="164"/>
      <c r="Z59" s="164"/>
      <c r="AA59" s="164"/>
      <c r="AB59" s="164"/>
      <c r="AC59" s="164"/>
      <c r="AD59" s="221">
        <v>0</v>
      </c>
      <c r="AE59" s="221">
        <f>R59+AD59</f>
        <v>584536</v>
      </c>
    </row>
    <row r="60" spans="1:32" s="222" customFormat="1" ht="409.5">
      <c r="A60" s="219">
        <v>100</v>
      </c>
      <c r="B60" s="217">
        <v>8</v>
      </c>
      <c r="C60" s="162" t="s">
        <v>301</v>
      </c>
      <c r="D60" s="161" t="s">
        <v>393</v>
      </c>
      <c r="E60" s="162" t="s">
        <v>388</v>
      </c>
      <c r="F60" s="220">
        <v>18</v>
      </c>
      <c r="G60" s="220"/>
      <c r="H60" s="221">
        <v>2</v>
      </c>
      <c r="I60" s="221">
        <v>9000</v>
      </c>
      <c r="J60" s="221">
        <f>I60*F60*(G60+H60)</f>
        <v>324000</v>
      </c>
      <c r="K60" s="221">
        <v>7292</v>
      </c>
      <c r="L60" s="221">
        <f>K60*F60*(G60)</f>
        <v>0</v>
      </c>
      <c r="M60" s="221">
        <v>6126</v>
      </c>
      <c r="N60" s="221">
        <f>M60*F60*H60</f>
        <v>220536</v>
      </c>
      <c r="O60" s="164">
        <v>10000</v>
      </c>
      <c r="P60" s="164">
        <f>O60*H60*2</f>
        <v>40000</v>
      </c>
      <c r="Q60" s="164"/>
      <c r="R60" s="221">
        <f>J60+L60+N60+P60+Q60</f>
        <v>584536</v>
      </c>
      <c r="S60" s="220"/>
      <c r="T60" s="221"/>
      <c r="U60" s="220"/>
      <c r="V60" s="221"/>
      <c r="W60" s="164"/>
      <c r="X60" s="164"/>
      <c r="Y60" s="164"/>
      <c r="Z60" s="164"/>
      <c r="AA60" s="164"/>
      <c r="AB60" s="164"/>
      <c r="AC60" s="164"/>
      <c r="AD60" s="221">
        <v>0</v>
      </c>
      <c r="AE60" s="221">
        <f>R60+AD60</f>
        <v>584536</v>
      </c>
    </row>
    <row r="61" spans="1:32" s="222" customFormat="1" ht="141">
      <c r="A61" s="156">
        <v>101</v>
      </c>
      <c r="B61" s="223">
        <v>9</v>
      </c>
      <c r="C61" s="162" t="s">
        <v>334</v>
      </c>
      <c r="D61" s="161" t="s">
        <v>394</v>
      </c>
      <c r="E61" s="162" t="s">
        <v>335</v>
      </c>
      <c r="F61" s="220">
        <v>10</v>
      </c>
      <c r="G61" s="220"/>
      <c r="H61" s="221">
        <v>2</v>
      </c>
      <c r="I61" s="221">
        <v>0</v>
      </c>
      <c r="J61" s="221">
        <v>0</v>
      </c>
      <c r="K61" s="221">
        <v>0</v>
      </c>
      <c r="L61" s="221">
        <v>0</v>
      </c>
      <c r="M61" s="221">
        <v>0</v>
      </c>
      <c r="N61" s="221">
        <v>0</v>
      </c>
      <c r="O61" s="164">
        <v>0</v>
      </c>
      <c r="P61" s="164">
        <v>0</v>
      </c>
      <c r="Q61" s="164">
        <v>0</v>
      </c>
      <c r="R61" s="221">
        <v>0</v>
      </c>
      <c r="S61" s="220">
        <v>40000</v>
      </c>
      <c r="T61" s="221">
        <f>S61*F61*(G61+H61)</f>
        <v>800000</v>
      </c>
      <c r="U61" s="220">
        <v>20000</v>
      </c>
      <c r="V61" s="221">
        <f>U61*F61*(G61+H61)</f>
        <v>400000</v>
      </c>
      <c r="W61" s="164">
        <v>15000</v>
      </c>
      <c r="X61" s="164">
        <f>W61*(G61+H61)</f>
        <v>30000</v>
      </c>
      <c r="Y61" s="164">
        <v>800000</v>
      </c>
      <c r="Z61" s="164">
        <f>Y61*(G61+H61)</f>
        <v>1600000</v>
      </c>
      <c r="AA61" s="164">
        <f>40000*(G61+H61)</f>
        <v>80000</v>
      </c>
      <c r="AB61" s="164">
        <v>0</v>
      </c>
      <c r="AC61" s="164">
        <v>0</v>
      </c>
      <c r="AD61" s="221">
        <f>T61+V61+X61+Z61+AA61+AB61+AC61</f>
        <v>2910000</v>
      </c>
      <c r="AE61" s="221">
        <f>R61+AD61</f>
        <v>2910000</v>
      </c>
    </row>
    <row r="62" spans="1:32" s="181" customFormat="1" ht="75" customHeight="1">
      <c r="A62" s="1635" t="s">
        <v>233</v>
      </c>
      <c r="B62" s="1635"/>
      <c r="C62" s="1635"/>
      <c r="D62" s="1635"/>
      <c r="E62" s="1635"/>
      <c r="F62" s="1635"/>
      <c r="G62" s="1635"/>
      <c r="H62" s="195"/>
      <c r="I62" s="179"/>
      <c r="J62" s="179">
        <f>SUM(J58:J61)</f>
        <v>702000</v>
      </c>
      <c r="K62" s="179"/>
      <c r="L62" s="179">
        <f>SUM(L58:L61)</f>
        <v>0</v>
      </c>
      <c r="M62" s="179"/>
      <c r="N62" s="179">
        <f>SUM(N58:N61)</f>
        <v>479484</v>
      </c>
      <c r="O62" s="178"/>
      <c r="P62" s="178">
        <f>SUM(P58:P61)</f>
        <v>100000</v>
      </c>
      <c r="Q62" s="178">
        <f>SUM(Q58:Q61)</f>
        <v>0</v>
      </c>
      <c r="R62" s="178">
        <f>J62+L62+N62+P62+Q62</f>
        <v>1281484</v>
      </c>
      <c r="S62" s="178"/>
      <c r="T62" s="178">
        <f>SUM(T58:T61)</f>
        <v>800000</v>
      </c>
      <c r="U62" s="178"/>
      <c r="V62" s="178">
        <f>SUM(V58:V61)</f>
        <v>400000</v>
      </c>
      <c r="W62" s="178"/>
      <c r="X62" s="178">
        <f>SUM(X58:X61)</f>
        <v>30000</v>
      </c>
      <c r="Y62" s="178"/>
      <c r="Z62" s="178">
        <f>SUM(Z58:Z61)</f>
        <v>1600000</v>
      </c>
      <c r="AA62" s="178">
        <f>SUM(AA58:AA61)</f>
        <v>80000</v>
      </c>
      <c r="AB62" s="179">
        <f>SUM(AB58:AB61)</f>
        <v>0</v>
      </c>
      <c r="AC62" s="179">
        <f>SUM(AC58:AC61)</f>
        <v>0</v>
      </c>
      <c r="AD62" s="179">
        <f>T62+V62+X62+Z62+AA62+AB62+AC62</f>
        <v>2910000</v>
      </c>
      <c r="AE62" s="178">
        <f>R62+AD62</f>
        <v>4191484</v>
      </c>
      <c r="AF62" s="180"/>
    </row>
    <row r="63" spans="1:32" s="181" customFormat="1" ht="111.75" customHeight="1">
      <c r="A63" s="1637" t="s">
        <v>400</v>
      </c>
      <c r="B63" s="1637"/>
      <c r="C63" s="1637"/>
      <c r="D63" s="1637"/>
      <c r="E63" s="1637"/>
      <c r="F63" s="1637"/>
      <c r="G63" s="1637"/>
      <c r="H63" s="1637"/>
      <c r="I63" s="1637"/>
      <c r="J63" s="1637"/>
      <c r="K63" s="1637"/>
      <c r="L63" s="1637"/>
      <c r="M63" s="1637"/>
      <c r="N63" s="1637"/>
      <c r="O63" s="1637"/>
      <c r="P63" s="1637"/>
      <c r="Q63" s="1637"/>
      <c r="R63" s="1637"/>
      <c r="S63" s="1637"/>
      <c r="T63" s="1637"/>
      <c r="U63" s="1637"/>
      <c r="V63" s="1637"/>
      <c r="W63" s="1637"/>
      <c r="X63" s="1637"/>
      <c r="Y63" s="1637"/>
      <c r="Z63" s="1637"/>
      <c r="AA63" s="1637"/>
      <c r="AB63" s="1637"/>
      <c r="AC63" s="1637"/>
      <c r="AD63" s="1637"/>
      <c r="AE63" s="1637"/>
      <c r="AF63" s="180"/>
    </row>
    <row r="64" spans="1:32" s="149" customFormat="1" ht="211.5">
      <c r="A64" s="219">
        <v>102</v>
      </c>
      <c r="B64" s="135">
        <v>1</v>
      </c>
      <c r="C64" s="160" t="s">
        <v>385</v>
      </c>
      <c r="D64" s="161" t="s">
        <v>401</v>
      </c>
      <c r="E64" s="162" t="s">
        <v>387</v>
      </c>
      <c r="F64" s="163">
        <v>3</v>
      </c>
      <c r="G64" s="163"/>
      <c r="H64" s="132">
        <v>2</v>
      </c>
      <c r="I64" s="132">
        <v>9000</v>
      </c>
      <c r="J64" s="132">
        <f>I64*F64*(G64+H64)</f>
        <v>54000</v>
      </c>
      <c r="K64" s="127">
        <v>8002</v>
      </c>
      <c r="L64" s="132">
        <f>SUM(K64*F64*G64)</f>
        <v>0</v>
      </c>
      <c r="M64" s="127">
        <v>6402</v>
      </c>
      <c r="N64" s="132">
        <f>M64*F64*H64</f>
        <v>38412</v>
      </c>
      <c r="O64" s="164">
        <v>10000</v>
      </c>
      <c r="P64" s="164">
        <f>O64*H64</f>
        <v>20000</v>
      </c>
      <c r="Q64" s="164"/>
      <c r="R64" s="132">
        <f>J64+L64+N64+P64+Q64</f>
        <v>112412</v>
      </c>
      <c r="S64" s="163"/>
      <c r="T64" s="132"/>
      <c r="U64" s="163"/>
      <c r="V64" s="132"/>
      <c r="W64" s="164"/>
      <c r="X64" s="164"/>
      <c r="Y64" s="164"/>
      <c r="Z64" s="164"/>
      <c r="AA64" s="164"/>
      <c r="AB64" s="164"/>
      <c r="AC64" s="164"/>
      <c r="AD64" s="132"/>
      <c r="AE64" s="132">
        <f>AD64+R64</f>
        <v>112412</v>
      </c>
      <c r="AF64" s="148"/>
    </row>
    <row r="65" spans="1:32" s="149" customFormat="1" ht="409.5">
      <c r="A65" s="219">
        <v>105</v>
      </c>
      <c r="B65" s="135">
        <v>4</v>
      </c>
      <c r="C65" s="160" t="s">
        <v>301</v>
      </c>
      <c r="D65" s="161" t="s">
        <v>402</v>
      </c>
      <c r="E65" s="162" t="s">
        <v>388</v>
      </c>
      <c r="F65" s="163">
        <v>18</v>
      </c>
      <c r="G65" s="163"/>
      <c r="H65" s="132">
        <v>2</v>
      </c>
      <c r="I65" s="132">
        <v>9000</v>
      </c>
      <c r="J65" s="132">
        <f>I65*F65*(G65+H65)</f>
        <v>324000</v>
      </c>
      <c r="K65" s="127">
        <v>8002</v>
      </c>
      <c r="L65" s="132">
        <f>SUM(K65*F65*G65)</f>
        <v>0</v>
      </c>
      <c r="M65" s="127">
        <v>6402</v>
      </c>
      <c r="N65" s="132">
        <f>M65*F65*H65</f>
        <v>230472</v>
      </c>
      <c r="O65" s="164">
        <v>10000</v>
      </c>
      <c r="P65" s="164">
        <f>O65*H65</f>
        <v>20000</v>
      </c>
      <c r="Q65" s="164"/>
      <c r="R65" s="132">
        <f>J65+L65+N65+P65+Q65</f>
        <v>574472</v>
      </c>
      <c r="S65" s="163"/>
      <c r="T65" s="132"/>
      <c r="U65" s="163"/>
      <c r="V65" s="132"/>
      <c r="W65" s="164"/>
      <c r="X65" s="164"/>
      <c r="Y65" s="164"/>
      <c r="Z65" s="164"/>
      <c r="AA65" s="164"/>
      <c r="AB65" s="164"/>
      <c r="AC65" s="164"/>
      <c r="AD65" s="132"/>
      <c r="AE65" s="132">
        <f>AD65+R65</f>
        <v>574472</v>
      </c>
      <c r="AF65" s="148"/>
    </row>
    <row r="66" spans="1:32" s="222" customFormat="1" ht="409.5">
      <c r="A66" s="219">
        <v>109</v>
      </c>
      <c r="B66" s="135">
        <v>8</v>
      </c>
      <c r="C66" s="162" t="s">
        <v>405</v>
      </c>
      <c r="D66" s="161" t="s">
        <v>310</v>
      </c>
      <c r="E66" s="162" t="s">
        <v>388</v>
      </c>
      <c r="F66" s="220">
        <v>18</v>
      </c>
      <c r="G66" s="220"/>
      <c r="H66" s="221">
        <v>1</v>
      </c>
      <c r="I66" s="221">
        <v>9000</v>
      </c>
      <c r="J66" s="221">
        <f>I66*F66*(G66+H66)</f>
        <v>162000</v>
      </c>
      <c r="K66" s="221">
        <v>7292</v>
      </c>
      <c r="L66" s="221">
        <f>K66*F66*(G66)</f>
        <v>0</v>
      </c>
      <c r="M66" s="221">
        <v>6126</v>
      </c>
      <c r="N66" s="221">
        <f>M66*F66*H66</f>
        <v>110268</v>
      </c>
      <c r="O66" s="164">
        <v>10000</v>
      </c>
      <c r="P66" s="164">
        <f>O66*H66*2</f>
        <v>20000</v>
      </c>
      <c r="Q66" s="164">
        <v>0</v>
      </c>
      <c r="R66" s="221">
        <f>J66+L66+N66+P66+Q66</f>
        <v>292268</v>
      </c>
      <c r="S66" s="220"/>
      <c r="T66" s="221"/>
      <c r="U66" s="220"/>
      <c r="V66" s="221"/>
      <c r="W66" s="164"/>
      <c r="X66" s="164"/>
      <c r="Y66" s="164"/>
      <c r="Z66" s="164"/>
      <c r="AA66" s="164"/>
      <c r="AB66" s="164"/>
      <c r="AC66" s="164"/>
      <c r="AD66" s="221">
        <v>0</v>
      </c>
      <c r="AE66" s="221">
        <f t="shared" ref="AE66:AE71" si="0">R66+AD66</f>
        <v>292268</v>
      </c>
    </row>
    <row r="67" spans="1:32" s="222" customFormat="1" ht="141">
      <c r="A67" s="219">
        <v>110</v>
      </c>
      <c r="B67" s="135">
        <v>9</v>
      </c>
      <c r="C67" s="162" t="s">
        <v>390</v>
      </c>
      <c r="D67" s="161" t="s">
        <v>399</v>
      </c>
      <c r="E67" s="162" t="s">
        <v>365</v>
      </c>
      <c r="F67" s="220">
        <v>8</v>
      </c>
      <c r="G67" s="220"/>
      <c r="H67" s="221">
        <v>2</v>
      </c>
      <c r="I67" s="221">
        <v>0</v>
      </c>
      <c r="J67" s="221">
        <v>0</v>
      </c>
      <c r="K67" s="221">
        <v>0</v>
      </c>
      <c r="L67" s="221">
        <v>0</v>
      </c>
      <c r="M67" s="221">
        <v>0</v>
      </c>
      <c r="N67" s="221">
        <v>0</v>
      </c>
      <c r="O67" s="164">
        <v>0</v>
      </c>
      <c r="P67" s="164">
        <v>0</v>
      </c>
      <c r="Q67" s="164">
        <v>0</v>
      </c>
      <c r="R67" s="221">
        <v>0</v>
      </c>
      <c r="S67" s="220">
        <v>40000</v>
      </c>
      <c r="T67" s="221">
        <f>S67*F67*(G67+H67)</f>
        <v>640000</v>
      </c>
      <c r="U67" s="220">
        <v>20000</v>
      </c>
      <c r="V67" s="221">
        <f>U67*F67*(G67+H67)</f>
        <v>320000</v>
      </c>
      <c r="W67" s="164">
        <v>15000</v>
      </c>
      <c r="X67" s="164">
        <f>W67*(G67+H67)</f>
        <v>30000</v>
      </c>
      <c r="Y67" s="164">
        <v>500000</v>
      </c>
      <c r="Z67" s="164">
        <f>Y67*(G67+H67)</f>
        <v>1000000</v>
      </c>
      <c r="AA67" s="164">
        <v>0</v>
      </c>
      <c r="AB67" s="164">
        <v>0</v>
      </c>
      <c r="AC67" s="164">
        <v>0</v>
      </c>
      <c r="AD67" s="221">
        <f>T67+V67+X67+Z67+AA67+AB67+AC67</f>
        <v>1990000</v>
      </c>
      <c r="AE67" s="221">
        <f t="shared" si="0"/>
        <v>1990000</v>
      </c>
    </row>
    <row r="68" spans="1:32" s="222" customFormat="1" ht="409.5">
      <c r="A68" s="219">
        <v>111</v>
      </c>
      <c r="B68" s="135">
        <v>10</v>
      </c>
      <c r="C68" s="162" t="s">
        <v>301</v>
      </c>
      <c r="D68" s="161" t="s">
        <v>399</v>
      </c>
      <c r="E68" s="162" t="s">
        <v>388</v>
      </c>
      <c r="F68" s="220">
        <v>18</v>
      </c>
      <c r="G68" s="220"/>
      <c r="H68" s="221">
        <v>2</v>
      </c>
      <c r="I68" s="221">
        <v>9000</v>
      </c>
      <c r="J68" s="221">
        <f>I68*F68*(G68+H68)</f>
        <v>324000</v>
      </c>
      <c r="K68" s="221">
        <v>7292</v>
      </c>
      <c r="L68" s="221">
        <f>K68*F68*(G68)</f>
        <v>0</v>
      </c>
      <c r="M68" s="221">
        <v>6126</v>
      </c>
      <c r="N68" s="221">
        <f>M68*F68*H68</f>
        <v>220536</v>
      </c>
      <c r="O68" s="164">
        <v>10000</v>
      </c>
      <c r="P68" s="164">
        <f>O68*H68*2</f>
        <v>40000</v>
      </c>
      <c r="Q68" s="164"/>
      <c r="R68" s="221">
        <f>J68+L68+N68+P68+Q68</f>
        <v>584536</v>
      </c>
      <c r="S68" s="220"/>
      <c r="T68" s="221"/>
      <c r="U68" s="220"/>
      <c r="V68" s="221"/>
      <c r="W68" s="164"/>
      <c r="X68" s="164"/>
      <c r="Y68" s="164"/>
      <c r="Z68" s="164"/>
      <c r="AA68" s="164"/>
      <c r="AB68" s="164"/>
      <c r="AC68" s="164"/>
      <c r="AD68" s="221">
        <v>0</v>
      </c>
      <c r="AE68" s="221">
        <f t="shared" si="0"/>
        <v>584536</v>
      </c>
    </row>
    <row r="69" spans="1:32" s="222" customFormat="1" ht="409.5">
      <c r="A69" s="219">
        <v>112</v>
      </c>
      <c r="B69" s="135">
        <v>11</v>
      </c>
      <c r="C69" s="162" t="s">
        <v>301</v>
      </c>
      <c r="D69" s="161" t="s">
        <v>374</v>
      </c>
      <c r="E69" s="162" t="s">
        <v>388</v>
      </c>
      <c r="F69" s="220">
        <v>18</v>
      </c>
      <c r="G69" s="220"/>
      <c r="H69" s="221">
        <v>1</v>
      </c>
      <c r="I69" s="221">
        <v>9000</v>
      </c>
      <c r="J69" s="221">
        <f>I69*F69*(G69+H69)</f>
        <v>162000</v>
      </c>
      <c r="K69" s="221">
        <v>7292</v>
      </c>
      <c r="L69" s="221">
        <f>K69*F69*(G69)</f>
        <v>0</v>
      </c>
      <c r="M69" s="221">
        <v>6126</v>
      </c>
      <c r="N69" s="221">
        <f>M69*F69*H69</f>
        <v>110268</v>
      </c>
      <c r="O69" s="164">
        <v>10000</v>
      </c>
      <c r="P69" s="164">
        <f>O69*H69*2</f>
        <v>20000</v>
      </c>
      <c r="Q69" s="164"/>
      <c r="R69" s="221">
        <f>J69+L69+N69+P69+Q6</f>
        <v>292268</v>
      </c>
      <c r="S69" s="220"/>
      <c r="T69" s="221"/>
      <c r="U69" s="220"/>
      <c r="V69" s="221"/>
      <c r="W69" s="164"/>
      <c r="X69" s="164"/>
      <c r="Y69" s="164"/>
      <c r="Z69" s="164"/>
      <c r="AA69" s="164"/>
      <c r="AB69" s="164"/>
      <c r="AC69" s="164"/>
      <c r="AD69" s="221">
        <v>0</v>
      </c>
      <c r="AE69" s="221">
        <f t="shared" si="0"/>
        <v>292268</v>
      </c>
    </row>
    <row r="70" spans="1:32" s="222" customFormat="1" ht="141">
      <c r="A70" s="219">
        <v>113</v>
      </c>
      <c r="B70" s="135">
        <v>12</v>
      </c>
      <c r="C70" s="162" t="s">
        <v>334</v>
      </c>
      <c r="D70" s="161" t="s">
        <v>391</v>
      </c>
      <c r="E70" s="162" t="s">
        <v>406</v>
      </c>
      <c r="F70" s="220">
        <v>10</v>
      </c>
      <c r="G70" s="220"/>
      <c r="H70" s="221">
        <v>2</v>
      </c>
      <c r="I70" s="221">
        <v>0</v>
      </c>
      <c r="J70" s="221">
        <v>0</v>
      </c>
      <c r="K70" s="221">
        <v>0</v>
      </c>
      <c r="L70" s="221">
        <v>0</v>
      </c>
      <c r="M70" s="221">
        <v>0</v>
      </c>
      <c r="N70" s="221">
        <v>0</v>
      </c>
      <c r="O70" s="164">
        <v>0</v>
      </c>
      <c r="P70" s="164">
        <v>0</v>
      </c>
      <c r="Q70" s="164">
        <v>0</v>
      </c>
      <c r="R70" s="221">
        <v>0</v>
      </c>
      <c r="S70" s="220">
        <v>40000</v>
      </c>
      <c r="T70" s="221">
        <f>S70*F70*(G70+H70)</f>
        <v>800000</v>
      </c>
      <c r="U70" s="220">
        <v>20000</v>
      </c>
      <c r="V70" s="221">
        <f>U70*F70*(G70+H70)</f>
        <v>400000</v>
      </c>
      <c r="W70" s="164">
        <v>15000</v>
      </c>
      <c r="X70" s="164">
        <f>W70*(G70+H70)</f>
        <v>30000</v>
      </c>
      <c r="Y70" s="164">
        <v>800000</v>
      </c>
      <c r="Z70" s="164">
        <f>Y70*(G70+H70)</f>
        <v>1600000</v>
      </c>
      <c r="AA70" s="164">
        <f>40000*(G70+H70)</f>
        <v>80000</v>
      </c>
      <c r="AB70" s="164">
        <v>0</v>
      </c>
      <c r="AC70" s="164">
        <v>0</v>
      </c>
      <c r="AD70" s="221">
        <f>T70+V70+X70+Z70+AA70+AB70+AC70</f>
        <v>2910000</v>
      </c>
      <c r="AE70" s="221">
        <f t="shared" si="0"/>
        <v>2910000</v>
      </c>
      <c r="AF70" s="224"/>
    </row>
    <row r="71" spans="1:32" s="181" customFormat="1" ht="75" customHeight="1">
      <c r="A71" s="1635" t="s">
        <v>233</v>
      </c>
      <c r="B71" s="1635"/>
      <c r="C71" s="1635"/>
      <c r="D71" s="1635"/>
      <c r="E71" s="1635"/>
      <c r="F71" s="1635"/>
      <c r="G71" s="1635"/>
      <c r="H71" s="195"/>
      <c r="I71" s="179"/>
      <c r="J71" s="179">
        <f>SUM(J64:J70)</f>
        <v>1026000</v>
      </c>
      <c r="K71" s="179"/>
      <c r="L71" s="179">
        <f>SUM(L64:L70)</f>
        <v>0</v>
      </c>
      <c r="M71" s="179"/>
      <c r="N71" s="179">
        <f>SUM(N64:N70)</f>
        <v>709956</v>
      </c>
      <c r="O71" s="178"/>
      <c r="P71" s="178">
        <f>SUM(P64:P70)</f>
        <v>120000</v>
      </c>
      <c r="Q71" s="178">
        <f>SUM(Q64:Q70)</f>
        <v>0</v>
      </c>
      <c r="R71" s="178">
        <f>J71+L71+N71+P71+Q71</f>
        <v>1855956</v>
      </c>
      <c r="S71" s="178"/>
      <c r="T71" s="178">
        <f>SUM(T64:T70)</f>
        <v>1440000</v>
      </c>
      <c r="U71" s="178"/>
      <c r="V71" s="178">
        <f>SUM(V64:V70)</f>
        <v>720000</v>
      </c>
      <c r="W71" s="178"/>
      <c r="X71" s="178">
        <f>SUM(X64:X70)</f>
        <v>60000</v>
      </c>
      <c r="Y71" s="178"/>
      <c r="Z71" s="178">
        <f>SUM(Z64:Z70)</f>
        <v>2600000</v>
      </c>
      <c r="AA71" s="178">
        <f>SUM(AA64:AA70)</f>
        <v>80000</v>
      </c>
      <c r="AB71" s="179">
        <f>SUM(AB64:AB70)</f>
        <v>0</v>
      </c>
      <c r="AC71" s="179">
        <f>SUM(AC64:AC70)</f>
        <v>0</v>
      </c>
      <c r="AD71" s="225">
        <f>T71+V71+X71+Z71+AA71+AB71+AC71</f>
        <v>4900000</v>
      </c>
      <c r="AE71" s="178">
        <f t="shared" si="0"/>
        <v>6755956</v>
      </c>
      <c r="AF71" s="180"/>
    </row>
    <row r="72" spans="1:32" s="181" customFormat="1" ht="96.75" customHeight="1">
      <c r="A72" s="1637" t="s">
        <v>407</v>
      </c>
      <c r="B72" s="1637"/>
      <c r="C72" s="1637"/>
      <c r="D72" s="1637"/>
      <c r="E72" s="1637"/>
      <c r="F72" s="1637"/>
      <c r="G72" s="1637"/>
      <c r="H72" s="1637"/>
      <c r="I72" s="1637"/>
      <c r="J72" s="1637"/>
      <c r="K72" s="1637"/>
      <c r="L72" s="1637"/>
      <c r="M72" s="1637"/>
      <c r="N72" s="1637"/>
      <c r="O72" s="1637"/>
      <c r="P72" s="1637"/>
      <c r="Q72" s="1637"/>
      <c r="R72" s="1637"/>
      <c r="S72" s="1637"/>
      <c r="T72" s="1637"/>
      <c r="U72" s="1637"/>
      <c r="V72" s="1637"/>
      <c r="W72" s="1637"/>
      <c r="X72" s="1637"/>
      <c r="Y72" s="1637"/>
      <c r="Z72" s="1637"/>
      <c r="AA72" s="1637"/>
      <c r="AB72" s="1637"/>
      <c r="AC72" s="1637"/>
      <c r="AD72" s="1637"/>
      <c r="AE72" s="1637"/>
      <c r="AF72" s="180"/>
    </row>
    <row r="73" spans="1:32" s="226" customFormat="1" ht="231" customHeight="1">
      <c r="A73" s="134">
        <v>116</v>
      </c>
      <c r="B73" s="135">
        <v>3</v>
      </c>
      <c r="C73" s="136" t="s">
        <v>385</v>
      </c>
      <c r="D73" s="137" t="s">
        <v>384</v>
      </c>
      <c r="E73" s="122" t="s">
        <v>216</v>
      </c>
      <c r="F73" s="138">
        <v>3</v>
      </c>
      <c r="G73" s="124"/>
      <c r="H73" s="124">
        <v>2</v>
      </c>
      <c r="I73" s="125">
        <v>9000</v>
      </c>
      <c r="J73" s="126">
        <f>I73*F73*(G73+H73)</f>
        <v>54000</v>
      </c>
      <c r="K73" s="127">
        <v>8002</v>
      </c>
      <c r="L73" s="128">
        <f>K73*F73*G73</f>
        <v>0</v>
      </c>
      <c r="M73" s="127">
        <v>6402</v>
      </c>
      <c r="N73" s="129">
        <f>M73*H73*F73</f>
        <v>38412</v>
      </c>
      <c r="O73" s="129">
        <v>10000</v>
      </c>
      <c r="P73" s="129">
        <f>O73*H73*2</f>
        <v>40000</v>
      </c>
      <c r="Q73" s="129">
        <v>0</v>
      </c>
      <c r="R73" s="129">
        <f>P73+Q73+N73+L73+J73</f>
        <v>132412</v>
      </c>
      <c r="S73" s="141"/>
      <c r="T73" s="140"/>
      <c r="U73" s="141"/>
      <c r="V73" s="140"/>
      <c r="W73" s="141"/>
      <c r="X73" s="140"/>
      <c r="Y73" s="141"/>
      <c r="Z73" s="128"/>
      <c r="AA73" s="141"/>
      <c r="AB73" s="141"/>
      <c r="AC73" s="141"/>
      <c r="AD73" s="132"/>
      <c r="AE73" s="132">
        <f>R73+AD73</f>
        <v>132412</v>
      </c>
    </row>
    <row r="74" spans="1:32" s="226" customFormat="1" ht="409.5">
      <c r="A74" s="134">
        <v>119</v>
      </c>
      <c r="B74" s="119">
        <v>6</v>
      </c>
      <c r="C74" s="136" t="s">
        <v>307</v>
      </c>
      <c r="D74" s="161" t="s">
        <v>310</v>
      </c>
      <c r="E74" s="122" t="s">
        <v>338</v>
      </c>
      <c r="F74" s="138">
        <v>18</v>
      </c>
      <c r="G74" s="124"/>
      <c r="H74" s="124">
        <v>2</v>
      </c>
      <c r="I74" s="125">
        <v>9000</v>
      </c>
      <c r="J74" s="126">
        <f>I74*F74*(G74+H74)</f>
        <v>324000</v>
      </c>
      <c r="K74" s="127">
        <v>8002</v>
      </c>
      <c r="L74" s="128">
        <f>K74*F74*G74</f>
        <v>0</v>
      </c>
      <c r="M74" s="127">
        <v>6402</v>
      </c>
      <c r="N74" s="129">
        <f>M74*H74*F74</f>
        <v>230472</v>
      </c>
      <c r="O74" s="129">
        <v>10000</v>
      </c>
      <c r="P74" s="129">
        <f>O74*H74*2</f>
        <v>40000</v>
      </c>
      <c r="Q74" s="129">
        <v>0</v>
      </c>
      <c r="R74" s="129">
        <f>P74+Q74+N74+L74+J74</f>
        <v>594472</v>
      </c>
      <c r="S74" s="141"/>
      <c r="T74" s="140"/>
      <c r="U74" s="141"/>
      <c r="V74" s="140"/>
      <c r="W74" s="141"/>
      <c r="X74" s="140"/>
      <c r="Y74" s="141"/>
      <c r="Z74" s="128"/>
      <c r="AA74" s="141"/>
      <c r="AB74" s="141"/>
      <c r="AC74" s="141"/>
      <c r="AD74" s="132"/>
      <c r="AE74" s="132">
        <f>R74+AD74</f>
        <v>594472</v>
      </c>
    </row>
    <row r="75" spans="1:32" s="226" customFormat="1" ht="231" customHeight="1">
      <c r="A75" s="134">
        <v>116</v>
      </c>
      <c r="B75" s="135">
        <v>3</v>
      </c>
      <c r="C75" s="136" t="s">
        <v>385</v>
      </c>
      <c r="D75" s="137" t="s">
        <v>384</v>
      </c>
      <c r="E75" s="122" t="s">
        <v>216</v>
      </c>
      <c r="F75" s="138">
        <v>3</v>
      </c>
      <c r="G75" s="124"/>
      <c r="H75" s="124">
        <v>2</v>
      </c>
      <c r="I75" s="125">
        <v>9000</v>
      </c>
      <c r="J75" s="126">
        <f>I75*F75*(G75+H75)</f>
        <v>54000</v>
      </c>
      <c r="K75" s="127">
        <v>8002</v>
      </c>
      <c r="L75" s="128">
        <f>K75*F75*G75</f>
        <v>0</v>
      </c>
      <c r="M75" s="127">
        <v>6402</v>
      </c>
      <c r="N75" s="129">
        <f>M75*H75*F75</f>
        <v>38412</v>
      </c>
      <c r="O75" s="129">
        <v>10000</v>
      </c>
      <c r="P75" s="129">
        <f>O75*H75*2</f>
        <v>40000</v>
      </c>
      <c r="Q75" s="129">
        <v>0</v>
      </c>
      <c r="R75" s="129">
        <f>P75+Q75+N75+L75+J75</f>
        <v>132412</v>
      </c>
      <c r="S75" s="141"/>
      <c r="T75" s="140"/>
      <c r="U75" s="141"/>
      <c r="V75" s="140"/>
      <c r="W75" s="141"/>
      <c r="X75" s="140"/>
      <c r="Y75" s="141"/>
      <c r="Z75" s="128"/>
      <c r="AA75" s="141"/>
      <c r="AB75" s="141"/>
      <c r="AC75" s="141"/>
      <c r="AD75" s="132"/>
      <c r="AE75" s="132">
        <f>R75+AD75</f>
        <v>132412</v>
      </c>
    </row>
    <row r="76" spans="1:32" s="226" customFormat="1" ht="409.5">
      <c r="A76" s="134">
        <v>119</v>
      </c>
      <c r="B76" s="119">
        <v>6</v>
      </c>
      <c r="C76" s="136" t="s">
        <v>307</v>
      </c>
      <c r="D76" s="161" t="s">
        <v>310</v>
      </c>
      <c r="E76" s="122" t="s">
        <v>338</v>
      </c>
      <c r="F76" s="138">
        <v>18</v>
      </c>
      <c r="G76" s="124"/>
      <c r="H76" s="124">
        <v>2</v>
      </c>
      <c r="I76" s="125">
        <v>9000</v>
      </c>
      <c r="J76" s="126">
        <f>I76*F76*(G76+H76)</f>
        <v>324000</v>
      </c>
      <c r="K76" s="127">
        <v>8002</v>
      </c>
      <c r="L76" s="128">
        <f>K76*F76*G76</f>
        <v>0</v>
      </c>
      <c r="M76" s="127">
        <v>6402</v>
      </c>
      <c r="N76" s="129">
        <f>M76*H76*F76</f>
        <v>230472</v>
      </c>
      <c r="O76" s="129">
        <v>10000</v>
      </c>
      <c r="P76" s="129">
        <f>O76*H76*2</f>
        <v>40000</v>
      </c>
      <c r="Q76" s="129">
        <v>0</v>
      </c>
      <c r="R76" s="129">
        <f>P76+Q76+N76+L76+J76</f>
        <v>594472</v>
      </c>
      <c r="S76" s="141"/>
      <c r="T76" s="140"/>
      <c r="U76" s="141"/>
      <c r="V76" s="140"/>
      <c r="W76" s="141"/>
      <c r="X76" s="140"/>
      <c r="Y76" s="141"/>
      <c r="Z76" s="128"/>
      <c r="AA76" s="141"/>
      <c r="AB76" s="141"/>
      <c r="AC76" s="141"/>
      <c r="AD76" s="132"/>
      <c r="AE76" s="132">
        <f>R76+AD76</f>
        <v>594472</v>
      </c>
    </row>
    <row r="77" spans="1:32" s="226" customFormat="1" ht="138" customHeight="1">
      <c r="A77" s="118">
        <v>120</v>
      </c>
      <c r="B77" s="135">
        <v>7</v>
      </c>
      <c r="C77" s="196" t="s">
        <v>410</v>
      </c>
      <c r="D77" s="197" t="s">
        <v>310</v>
      </c>
      <c r="E77" s="213" t="s">
        <v>411</v>
      </c>
      <c r="F77" s="199">
        <v>10</v>
      </c>
      <c r="G77" s="200"/>
      <c r="H77" s="200">
        <v>2</v>
      </c>
      <c r="I77" s="202"/>
      <c r="J77" s="203"/>
      <c r="K77" s="202"/>
      <c r="L77" s="204"/>
      <c r="M77" s="205"/>
      <c r="N77" s="205"/>
      <c r="O77" s="205"/>
      <c r="P77" s="205"/>
      <c r="Q77" s="205"/>
      <c r="R77" s="205"/>
      <c r="S77" s="207">
        <v>44000</v>
      </c>
      <c r="T77" s="206">
        <f>S77*F77*(G77+H77)</f>
        <v>880000</v>
      </c>
      <c r="U77" s="207">
        <v>20000</v>
      </c>
      <c r="V77" s="206">
        <f>U77*F77*(G77+H77)</f>
        <v>400000</v>
      </c>
      <c r="W77" s="207">
        <v>14000</v>
      </c>
      <c r="X77" s="206">
        <f>W77*(G77+H77)</f>
        <v>28000</v>
      </c>
      <c r="Y77" s="207">
        <v>250000</v>
      </c>
      <c r="Z77" s="204">
        <f>Y77*(G77+H77)</f>
        <v>500000</v>
      </c>
      <c r="AA77" s="207"/>
      <c r="AB77" s="207">
        <v>0</v>
      </c>
      <c r="AC77" s="207">
        <f>13080*G77</f>
        <v>0</v>
      </c>
      <c r="AD77" s="208">
        <f>T77+V77+X77+Z77+AA77+AB77+AC77</f>
        <v>1808000</v>
      </c>
      <c r="AE77" s="208">
        <f>AD77+R77</f>
        <v>1808000</v>
      </c>
    </row>
    <row r="78" spans="1:32" s="232" customFormat="1" ht="231" customHeight="1">
      <c r="A78" s="134">
        <v>123</v>
      </c>
      <c r="B78" s="119">
        <v>10</v>
      </c>
      <c r="C78" s="167" t="s">
        <v>412</v>
      </c>
      <c r="D78" s="168" t="s">
        <v>351</v>
      </c>
      <c r="E78" s="167" t="s">
        <v>413</v>
      </c>
      <c r="F78" s="185">
        <v>10</v>
      </c>
      <c r="G78" s="210"/>
      <c r="H78" s="210">
        <v>2</v>
      </c>
      <c r="I78" s="169"/>
      <c r="J78" s="227"/>
      <c r="K78" s="169"/>
      <c r="L78" s="189"/>
      <c r="M78" s="139"/>
      <c r="N78" s="228"/>
      <c r="O78" s="139"/>
      <c r="P78" s="139"/>
      <c r="Q78" s="139"/>
      <c r="R78" s="139">
        <v>0</v>
      </c>
      <c r="S78" s="141">
        <v>25000</v>
      </c>
      <c r="T78" s="229">
        <f>S78*F78*(G78+H78)</f>
        <v>500000</v>
      </c>
      <c r="U78" s="141">
        <v>20000</v>
      </c>
      <c r="V78" s="229">
        <f>U78*F78*(G78+H78)</f>
        <v>400000</v>
      </c>
      <c r="W78" s="141">
        <v>15000</v>
      </c>
      <c r="X78" s="229">
        <f>W78*(G78+H78)</f>
        <v>30000</v>
      </c>
      <c r="Y78" s="141">
        <v>700000</v>
      </c>
      <c r="Z78" s="188">
        <f>Y78*(G78+H78)</f>
        <v>1400000</v>
      </c>
      <c r="AA78" s="141">
        <f>35000*(G78+H78)</f>
        <v>70000</v>
      </c>
      <c r="AB78" s="141">
        <v>0</v>
      </c>
      <c r="AC78" s="141">
        <v>0</v>
      </c>
      <c r="AD78" s="221">
        <f>T78+V78+X78+Z78+AA78+AB78+AC78</f>
        <v>2400000</v>
      </c>
      <c r="AE78" s="221">
        <f>AD78+R78</f>
        <v>2400000</v>
      </c>
    </row>
    <row r="79" spans="1:32" s="232" customFormat="1" ht="409.5">
      <c r="A79" s="118">
        <v>126</v>
      </c>
      <c r="B79" s="119">
        <v>13</v>
      </c>
      <c r="C79" s="167" t="s">
        <v>312</v>
      </c>
      <c r="D79" s="161" t="s">
        <v>416</v>
      </c>
      <c r="E79" s="167" t="s">
        <v>338</v>
      </c>
      <c r="F79" s="185">
        <v>18</v>
      </c>
      <c r="G79" s="210"/>
      <c r="H79" s="210">
        <v>2</v>
      </c>
      <c r="I79" s="169">
        <v>9000</v>
      </c>
      <c r="J79" s="227">
        <f>I79*F79*(G79+H79)</f>
        <v>324000</v>
      </c>
      <c r="K79" s="169">
        <v>7658</v>
      </c>
      <c r="L79" s="189">
        <f>K79*F79*G79</f>
        <v>0</v>
      </c>
      <c r="M79" s="139">
        <v>5834</v>
      </c>
      <c r="N79" s="228">
        <f>M79*H79*F79</f>
        <v>210024</v>
      </c>
      <c r="O79" s="139">
        <v>10000</v>
      </c>
      <c r="P79" s="139">
        <f>O79*H79*2</f>
        <v>40000</v>
      </c>
      <c r="Q79" s="139">
        <v>0</v>
      </c>
      <c r="R79" s="139">
        <f>P79+Q79+N79+L79+J79</f>
        <v>574024</v>
      </c>
      <c r="S79" s="141"/>
      <c r="T79" s="229"/>
      <c r="U79" s="141"/>
      <c r="V79" s="229"/>
      <c r="W79" s="141"/>
      <c r="X79" s="229"/>
      <c r="Y79" s="141"/>
      <c r="Z79" s="188"/>
      <c r="AA79" s="141"/>
      <c r="AB79" s="141"/>
      <c r="AC79" s="141"/>
      <c r="AD79" s="221">
        <f>T79+V79+X79+Z79+AA79+AB79+AC79</f>
        <v>0</v>
      </c>
      <c r="AE79" s="221">
        <f>AD79+R79</f>
        <v>574024</v>
      </c>
    </row>
    <row r="80" spans="1:32" s="181" customFormat="1" ht="75" customHeight="1">
      <c r="A80" s="1635" t="s">
        <v>233</v>
      </c>
      <c r="B80" s="1635"/>
      <c r="C80" s="1635"/>
      <c r="D80" s="1635"/>
      <c r="E80" s="1635"/>
      <c r="F80" s="1635"/>
      <c r="G80" s="1635"/>
      <c r="H80" s="195"/>
      <c r="I80" s="179"/>
      <c r="J80" s="179">
        <f>SUM(J73:J79)</f>
        <v>1080000</v>
      </c>
      <c r="K80" s="179"/>
      <c r="L80" s="179">
        <f>SUM(L73:L79)</f>
        <v>0</v>
      </c>
      <c r="M80" s="179"/>
      <c r="N80" s="179">
        <f>SUM(N73:N79)</f>
        <v>747792</v>
      </c>
      <c r="O80" s="178"/>
      <c r="P80" s="178">
        <f>SUM(P73:P79)</f>
        <v>200000</v>
      </c>
      <c r="Q80" s="178">
        <f>SUM(Q73:Q79)</f>
        <v>0</v>
      </c>
      <c r="R80" s="178">
        <f>SUM(R73:R79)</f>
        <v>2027792</v>
      </c>
      <c r="S80" s="178"/>
      <c r="T80" s="178">
        <f>SUM(T73:T79)</f>
        <v>1380000</v>
      </c>
      <c r="U80" s="178"/>
      <c r="V80" s="178">
        <f>SUM(V73:V79)</f>
        <v>800000</v>
      </c>
      <c r="W80" s="178"/>
      <c r="X80" s="178">
        <f>SUM(X73:X79)</f>
        <v>58000</v>
      </c>
      <c r="Y80" s="178"/>
      <c r="Z80" s="178">
        <f>SUM(Z73:Z79)</f>
        <v>1900000</v>
      </c>
      <c r="AA80" s="178">
        <f>SUM(AA73:AA79)</f>
        <v>70000</v>
      </c>
      <c r="AB80" s="179">
        <f>SUM(AB73:AB79)</f>
        <v>0</v>
      </c>
      <c r="AC80" s="179">
        <f>SUM(AC73:AC79)</f>
        <v>0</v>
      </c>
      <c r="AD80" s="178">
        <f>SUM(AD73:AD79)</f>
        <v>4208000</v>
      </c>
      <c r="AE80" s="178">
        <f>R80+AD80</f>
        <v>6235792</v>
      </c>
      <c r="AF80" s="180"/>
    </row>
    <row r="81" spans="1:32" s="181" customFormat="1" ht="75" customHeight="1">
      <c r="A81" s="1630" t="s">
        <v>418</v>
      </c>
      <c r="B81" s="1630"/>
      <c r="C81" s="1630"/>
      <c r="D81" s="1630"/>
      <c r="E81" s="1630"/>
      <c r="F81" s="1630"/>
      <c r="G81" s="1630"/>
      <c r="H81" s="1630"/>
      <c r="I81" s="1630"/>
      <c r="J81" s="1630"/>
      <c r="K81" s="1630"/>
      <c r="L81" s="1630"/>
      <c r="M81" s="1630"/>
      <c r="N81" s="1630"/>
      <c r="O81" s="1630"/>
      <c r="P81" s="1630"/>
      <c r="Q81" s="1630"/>
      <c r="R81" s="1630"/>
      <c r="S81" s="1630"/>
      <c r="T81" s="1630"/>
      <c r="U81" s="1630"/>
      <c r="V81" s="1630"/>
      <c r="W81" s="1630"/>
      <c r="X81" s="1630"/>
      <c r="Y81" s="1630"/>
      <c r="Z81" s="1630"/>
      <c r="AA81" s="1630"/>
      <c r="AB81" s="1630"/>
      <c r="AC81" s="1630"/>
      <c r="AD81" s="1630"/>
      <c r="AE81" s="1630"/>
      <c r="AF81" s="180"/>
    </row>
    <row r="82" spans="1:32" s="149" customFormat="1" ht="210.75" customHeight="1">
      <c r="A82" s="118">
        <v>129</v>
      </c>
      <c r="B82" s="135">
        <v>1</v>
      </c>
      <c r="C82" s="136" t="s">
        <v>330</v>
      </c>
      <c r="D82" s="137" t="s">
        <v>408</v>
      </c>
      <c r="E82" s="122" t="s">
        <v>409</v>
      </c>
      <c r="F82" s="138">
        <v>18</v>
      </c>
      <c r="G82" s="124"/>
      <c r="H82" s="124">
        <v>2</v>
      </c>
      <c r="I82" s="125"/>
      <c r="J82" s="126"/>
      <c r="K82" s="128"/>
      <c r="L82" s="128"/>
      <c r="M82" s="129"/>
      <c r="N82" s="129"/>
      <c r="O82" s="129"/>
      <c r="P82" s="129"/>
      <c r="Q82" s="129"/>
      <c r="R82" s="129"/>
      <c r="S82" s="141">
        <v>23600</v>
      </c>
      <c r="T82" s="140">
        <f>S82*11*(G82+H82)</f>
        <v>519200</v>
      </c>
      <c r="U82" s="141">
        <v>20000</v>
      </c>
      <c r="V82" s="140">
        <f>U82*11*(G82+H82)</f>
        <v>440000</v>
      </c>
      <c r="W82" s="141">
        <v>12000</v>
      </c>
      <c r="X82" s="140">
        <f>W82*(G82+H82)</f>
        <v>24000</v>
      </c>
      <c r="Y82" s="141"/>
      <c r="Z82" s="128"/>
      <c r="AA82" s="141"/>
      <c r="AB82" s="141"/>
      <c r="AC82" s="141"/>
      <c r="AD82" s="132">
        <f>T82+V82+X82+Z82+AA82+AB82+AC82</f>
        <v>983200</v>
      </c>
      <c r="AE82" s="132">
        <f>AD82+R82</f>
        <v>983200</v>
      </c>
      <c r="AF82" s="148"/>
    </row>
    <row r="83" spans="1:32" s="166" customFormat="1" ht="141">
      <c r="A83" s="118">
        <v>130</v>
      </c>
      <c r="B83" s="119">
        <v>2</v>
      </c>
      <c r="C83" s="120" t="s">
        <v>304</v>
      </c>
      <c r="D83" s="137" t="s">
        <v>408</v>
      </c>
      <c r="E83" s="122" t="s">
        <v>409</v>
      </c>
      <c r="F83" s="123">
        <v>10</v>
      </c>
      <c r="G83" s="124"/>
      <c r="H83" s="123">
        <v>2</v>
      </c>
      <c r="I83" s="125"/>
      <c r="J83" s="126"/>
      <c r="K83" s="125"/>
      <c r="L83" s="128"/>
      <c r="M83" s="129"/>
      <c r="N83" s="129"/>
      <c r="O83" s="129"/>
      <c r="P83" s="129"/>
      <c r="Q83" s="129"/>
      <c r="R83" s="129"/>
      <c r="S83" s="141">
        <v>23600</v>
      </c>
      <c r="T83" s="140">
        <f>S83*4*(G83+H83)</f>
        <v>188800</v>
      </c>
      <c r="U83" s="141">
        <v>20000</v>
      </c>
      <c r="V83" s="140">
        <f>U83*4*(G83+H83)</f>
        <v>160000</v>
      </c>
      <c r="W83" s="141"/>
      <c r="X83" s="140"/>
      <c r="Y83" s="141"/>
      <c r="Z83" s="128"/>
      <c r="AA83" s="141"/>
      <c r="AB83" s="141"/>
      <c r="AC83" s="141">
        <f>G83*13080</f>
        <v>0</v>
      </c>
      <c r="AD83" s="132">
        <f>T83+V83+X83+Z83+AA83+AB83+AC83</f>
        <v>348800</v>
      </c>
      <c r="AE83" s="132">
        <f>AD83+R83</f>
        <v>348800</v>
      </c>
      <c r="AF83" s="165"/>
    </row>
    <row r="84" spans="1:32" s="166" customFormat="1" ht="211.5">
      <c r="A84" s="118">
        <v>131</v>
      </c>
      <c r="B84" s="135">
        <v>3</v>
      </c>
      <c r="C84" s="136" t="s">
        <v>385</v>
      </c>
      <c r="D84" s="137" t="s">
        <v>384</v>
      </c>
      <c r="E84" s="122" t="s">
        <v>216</v>
      </c>
      <c r="F84" s="138">
        <v>3</v>
      </c>
      <c r="G84" s="124"/>
      <c r="H84" s="124">
        <v>2</v>
      </c>
      <c r="I84" s="125">
        <v>9000</v>
      </c>
      <c r="J84" s="126">
        <f>I84*F84*(G84+H84)</f>
        <v>54000</v>
      </c>
      <c r="K84" s="127">
        <v>8002</v>
      </c>
      <c r="L84" s="128">
        <f>K84*F84*G84</f>
        <v>0</v>
      </c>
      <c r="M84" s="127">
        <v>6402</v>
      </c>
      <c r="N84" s="129">
        <f>M84*H84*F84</f>
        <v>38412</v>
      </c>
      <c r="O84" s="129">
        <v>10000</v>
      </c>
      <c r="P84" s="129">
        <f>O84*H84*2</f>
        <v>40000</v>
      </c>
      <c r="Q84" s="129">
        <v>0</v>
      </c>
      <c r="R84" s="129">
        <f>P84+Q84+N84+L84+J84</f>
        <v>132412</v>
      </c>
      <c r="S84" s="141"/>
      <c r="T84" s="140"/>
      <c r="U84" s="141"/>
      <c r="V84" s="140"/>
      <c r="W84" s="141"/>
      <c r="X84" s="140"/>
      <c r="Y84" s="141"/>
      <c r="Z84" s="128"/>
      <c r="AA84" s="141"/>
      <c r="AB84" s="141"/>
      <c r="AC84" s="141"/>
      <c r="AD84" s="132"/>
      <c r="AE84" s="132">
        <f>R84+AD84</f>
        <v>132412</v>
      </c>
      <c r="AF84" s="165"/>
    </row>
    <row r="85" spans="1:32" s="234" customFormat="1" ht="409.5">
      <c r="A85" s="118">
        <v>135</v>
      </c>
      <c r="B85" s="135">
        <v>7</v>
      </c>
      <c r="C85" s="230" t="s">
        <v>330</v>
      </c>
      <c r="D85" s="121" t="s">
        <v>386</v>
      </c>
      <c r="E85" s="167" t="s">
        <v>338</v>
      </c>
      <c r="F85" s="123">
        <v>9</v>
      </c>
      <c r="G85" s="210"/>
      <c r="H85" s="123">
        <v>2</v>
      </c>
      <c r="I85" s="169">
        <v>9000</v>
      </c>
      <c r="J85" s="172">
        <f>I85*F85*(G85+H85)</f>
        <v>162000</v>
      </c>
      <c r="K85" s="233">
        <v>7658</v>
      </c>
      <c r="L85" s="188">
        <f>K85*F85*G85</f>
        <v>0</v>
      </c>
      <c r="M85" s="139">
        <v>5834</v>
      </c>
      <c r="N85" s="139">
        <f>M85*H85*F85</f>
        <v>105012</v>
      </c>
      <c r="O85" s="139">
        <v>10000</v>
      </c>
      <c r="P85" s="139">
        <f>O85*H85*2</f>
        <v>40000</v>
      </c>
      <c r="Q85" s="139">
        <v>0</v>
      </c>
      <c r="R85" s="139">
        <f>P85+Q85+N85+L85+J85</f>
        <v>307012</v>
      </c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21">
        <f t="shared" ref="AD85:AD91" si="1">T85+V85+X85+Z85+AA85+AB85+AC85</f>
        <v>0</v>
      </c>
      <c r="AE85" s="221">
        <f t="shared" ref="AE85:AE91" si="2">AD85+R85</f>
        <v>307012</v>
      </c>
    </row>
    <row r="86" spans="1:32" s="235" customFormat="1" ht="174.6" customHeight="1">
      <c r="A86" s="118">
        <v>137</v>
      </c>
      <c r="B86" s="135">
        <v>9</v>
      </c>
      <c r="C86" s="167" t="s">
        <v>412</v>
      </c>
      <c r="D86" s="168" t="s">
        <v>351</v>
      </c>
      <c r="E86" s="167" t="s">
        <v>413</v>
      </c>
      <c r="F86" s="185">
        <v>10</v>
      </c>
      <c r="G86" s="210"/>
      <c r="H86" s="210">
        <v>1</v>
      </c>
      <c r="I86" s="169">
        <v>0</v>
      </c>
      <c r="J86" s="172">
        <v>0</v>
      </c>
      <c r="K86" s="233">
        <v>0</v>
      </c>
      <c r="L86" s="188">
        <v>0</v>
      </c>
      <c r="M86" s="139">
        <v>0</v>
      </c>
      <c r="N86" s="139">
        <v>0</v>
      </c>
      <c r="O86" s="139">
        <v>0</v>
      </c>
      <c r="P86" s="139">
        <v>0</v>
      </c>
      <c r="Q86" s="139">
        <v>0</v>
      </c>
      <c r="R86" s="139">
        <v>0</v>
      </c>
      <c r="S86" s="141">
        <f>80*450</f>
        <v>36000</v>
      </c>
      <c r="T86" s="229">
        <f>S86*F86*(G86+H86)</f>
        <v>360000</v>
      </c>
      <c r="U86" s="141">
        <v>20000</v>
      </c>
      <c r="V86" s="229">
        <f>U86*F86*(G86+H86)</f>
        <v>200000</v>
      </c>
      <c r="W86" s="141">
        <v>15000</v>
      </c>
      <c r="X86" s="229">
        <f>W86*(G86+H86)</f>
        <v>15000</v>
      </c>
      <c r="Y86" s="141">
        <v>700000</v>
      </c>
      <c r="Z86" s="188">
        <f>Y86*(G86+H86)</f>
        <v>700000</v>
      </c>
      <c r="AA86" s="141">
        <f>35000*(G86+H86)</f>
        <v>35000</v>
      </c>
      <c r="AB86" s="141">
        <v>0</v>
      </c>
      <c r="AC86" s="141">
        <v>0</v>
      </c>
      <c r="AD86" s="221">
        <f t="shared" si="1"/>
        <v>1310000</v>
      </c>
      <c r="AE86" s="221">
        <f t="shared" si="2"/>
        <v>1310000</v>
      </c>
    </row>
    <row r="87" spans="1:32" s="235" customFormat="1" ht="409.5">
      <c r="A87" s="118">
        <v>138</v>
      </c>
      <c r="B87" s="135">
        <v>10</v>
      </c>
      <c r="C87" s="167" t="s">
        <v>330</v>
      </c>
      <c r="D87" s="161" t="s">
        <v>414</v>
      </c>
      <c r="E87" s="167" t="s">
        <v>338</v>
      </c>
      <c r="F87" s="185"/>
      <c r="G87" s="210"/>
      <c r="H87" s="210"/>
      <c r="I87" s="169"/>
      <c r="J87" s="172"/>
      <c r="K87" s="233"/>
      <c r="L87" s="188"/>
      <c r="M87" s="139"/>
      <c r="N87" s="139"/>
      <c r="O87" s="139"/>
      <c r="P87" s="139"/>
      <c r="Q87" s="139"/>
      <c r="R87" s="139"/>
      <c r="S87" s="141"/>
      <c r="T87" s="229"/>
      <c r="U87" s="141"/>
      <c r="V87" s="229"/>
      <c r="W87" s="141"/>
      <c r="X87" s="229"/>
      <c r="Y87" s="141"/>
      <c r="Z87" s="188"/>
      <c r="AA87" s="141"/>
      <c r="AB87" s="141"/>
      <c r="AC87" s="141"/>
      <c r="AD87" s="221">
        <f t="shared" si="1"/>
        <v>0</v>
      </c>
      <c r="AE87" s="221">
        <f t="shared" si="2"/>
        <v>0</v>
      </c>
    </row>
    <row r="88" spans="1:32" s="235" customFormat="1" ht="179.45" customHeight="1">
      <c r="A88" s="118">
        <v>139</v>
      </c>
      <c r="B88" s="119">
        <v>11</v>
      </c>
      <c r="C88" s="167" t="s">
        <v>341</v>
      </c>
      <c r="D88" s="161" t="s">
        <v>414</v>
      </c>
      <c r="E88" s="167" t="s">
        <v>415</v>
      </c>
      <c r="F88" s="185">
        <v>10</v>
      </c>
      <c r="G88" s="210"/>
      <c r="H88" s="210">
        <v>2</v>
      </c>
      <c r="I88" s="169">
        <v>0</v>
      </c>
      <c r="J88" s="172">
        <v>0</v>
      </c>
      <c r="K88" s="233">
        <v>0</v>
      </c>
      <c r="L88" s="188">
        <v>0</v>
      </c>
      <c r="M88" s="139">
        <v>0</v>
      </c>
      <c r="N88" s="139">
        <v>0</v>
      </c>
      <c r="O88" s="139">
        <v>0</v>
      </c>
      <c r="P88" s="139">
        <v>0</v>
      </c>
      <c r="Q88" s="139">
        <v>0</v>
      </c>
      <c r="R88" s="139">
        <v>0</v>
      </c>
      <c r="S88" s="141">
        <f>100*540</f>
        <v>54000</v>
      </c>
      <c r="T88" s="229">
        <f>S88*F88*(G88+H88)</f>
        <v>1080000</v>
      </c>
      <c r="U88" s="141">
        <v>20000</v>
      </c>
      <c r="V88" s="229">
        <f>U88*F88*(G88+H88)</f>
        <v>400000</v>
      </c>
      <c r="W88" s="141">
        <v>15000</v>
      </c>
      <c r="X88" s="229">
        <f>W88*(G88+H88)</f>
        <v>30000</v>
      </c>
      <c r="Y88" s="141">
        <v>800000</v>
      </c>
      <c r="Z88" s="188">
        <f>Y88*(G88+H88)</f>
        <v>1600000</v>
      </c>
      <c r="AA88" s="141">
        <f>35000*(G88+H88)</f>
        <v>70000</v>
      </c>
      <c r="AB88" s="141">
        <v>0</v>
      </c>
      <c r="AC88" s="141">
        <v>0</v>
      </c>
      <c r="AD88" s="221">
        <f t="shared" si="1"/>
        <v>3180000</v>
      </c>
      <c r="AE88" s="221">
        <f t="shared" si="2"/>
        <v>3180000</v>
      </c>
    </row>
    <row r="89" spans="1:32" s="235" customFormat="1" ht="409.5">
      <c r="A89" s="118">
        <v>140</v>
      </c>
      <c r="B89" s="135">
        <v>12</v>
      </c>
      <c r="C89" s="167" t="s">
        <v>312</v>
      </c>
      <c r="D89" s="161" t="s">
        <v>416</v>
      </c>
      <c r="E89" s="167" t="s">
        <v>338</v>
      </c>
      <c r="F89" s="185">
        <v>18</v>
      </c>
      <c r="G89" s="210"/>
      <c r="H89" s="210">
        <v>1</v>
      </c>
      <c r="I89" s="169">
        <v>9000</v>
      </c>
      <c r="J89" s="172">
        <f>I89*F89*(H89+G89)</f>
        <v>162000</v>
      </c>
      <c r="K89" s="233">
        <v>7658</v>
      </c>
      <c r="L89" s="188">
        <f>K89*F89*G89</f>
        <v>0</v>
      </c>
      <c r="M89" s="139">
        <v>5834</v>
      </c>
      <c r="N89" s="139">
        <f>M89*H89*F89</f>
        <v>105012</v>
      </c>
      <c r="O89" s="139">
        <v>10000</v>
      </c>
      <c r="P89" s="139">
        <f>O89*H89*2</f>
        <v>20000</v>
      </c>
      <c r="Q89" s="139">
        <v>0</v>
      </c>
      <c r="R89" s="139">
        <f>Q89+P89+N89+L89+J89</f>
        <v>287012</v>
      </c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236"/>
      <c r="AD89" s="221">
        <f t="shared" si="1"/>
        <v>0</v>
      </c>
      <c r="AE89" s="221">
        <f t="shared" si="2"/>
        <v>287012</v>
      </c>
    </row>
    <row r="90" spans="1:32" s="235" customFormat="1" ht="211.5">
      <c r="A90" s="118">
        <v>141</v>
      </c>
      <c r="B90" s="119">
        <v>13</v>
      </c>
      <c r="C90" s="167" t="s">
        <v>334</v>
      </c>
      <c r="D90" s="161" t="s">
        <v>417</v>
      </c>
      <c r="E90" s="167" t="s">
        <v>335</v>
      </c>
      <c r="F90" s="185">
        <v>10</v>
      </c>
      <c r="G90" s="210"/>
      <c r="H90" s="210">
        <v>1</v>
      </c>
      <c r="I90" s="169">
        <v>0</v>
      </c>
      <c r="J90" s="172">
        <v>0</v>
      </c>
      <c r="K90" s="233">
        <v>0</v>
      </c>
      <c r="L90" s="188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0</v>
      </c>
      <c r="R90" s="139">
        <v>0</v>
      </c>
      <c r="S90" s="141">
        <f>150*540</f>
        <v>81000</v>
      </c>
      <c r="T90" s="229">
        <f>S90*F90*(G90+H90)</f>
        <v>810000</v>
      </c>
      <c r="U90" s="141">
        <v>30000</v>
      </c>
      <c r="V90" s="229">
        <f>U90*F90*(G90+H90)</f>
        <v>300000</v>
      </c>
      <c r="W90" s="141">
        <v>15000</v>
      </c>
      <c r="X90" s="229">
        <f>W90*(G90+H90)</f>
        <v>15000</v>
      </c>
      <c r="Y90" s="141">
        <v>800000</v>
      </c>
      <c r="Z90" s="188">
        <f>Y90*(G90+H90)</f>
        <v>800000</v>
      </c>
      <c r="AA90" s="141">
        <f>35000*(G90+H90)</f>
        <v>35000</v>
      </c>
      <c r="AB90" s="141">
        <v>0</v>
      </c>
      <c r="AC90" s="141">
        <v>0</v>
      </c>
      <c r="AD90" s="221">
        <f>T90+V90+X90+Z90+AA90+AB90+AC90</f>
        <v>1960000</v>
      </c>
      <c r="AE90" s="221">
        <f>AD90+R90</f>
        <v>1960000</v>
      </c>
    </row>
    <row r="91" spans="1:32" s="235" customFormat="1" ht="211.5">
      <c r="A91" s="118">
        <v>141</v>
      </c>
      <c r="B91" s="119">
        <v>13</v>
      </c>
      <c r="C91" s="167" t="s">
        <v>334</v>
      </c>
      <c r="D91" s="161" t="s">
        <v>417</v>
      </c>
      <c r="E91" s="167" t="s">
        <v>335</v>
      </c>
      <c r="F91" s="185">
        <v>10</v>
      </c>
      <c r="G91" s="210"/>
      <c r="H91" s="210">
        <v>2</v>
      </c>
      <c r="I91" s="169">
        <v>0</v>
      </c>
      <c r="J91" s="172">
        <v>0</v>
      </c>
      <c r="K91" s="233">
        <v>0</v>
      </c>
      <c r="L91" s="188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41">
        <f>150*540</f>
        <v>81000</v>
      </c>
      <c r="T91" s="229">
        <f>S91*F91*(G91+H91)</f>
        <v>1620000</v>
      </c>
      <c r="U91" s="141">
        <v>30000</v>
      </c>
      <c r="V91" s="229">
        <f>U91*F91*(G91+H91)</f>
        <v>600000</v>
      </c>
      <c r="W91" s="141">
        <v>15000</v>
      </c>
      <c r="X91" s="229">
        <f>W91*(G91+H91)</f>
        <v>30000</v>
      </c>
      <c r="Y91" s="141">
        <v>800000</v>
      </c>
      <c r="Z91" s="188">
        <f>Y91*(G91+H91)</f>
        <v>1600000</v>
      </c>
      <c r="AA91" s="141">
        <f>35000*(G91+H91)</f>
        <v>70000</v>
      </c>
      <c r="AB91" s="141">
        <v>0</v>
      </c>
      <c r="AC91" s="141">
        <v>0</v>
      </c>
      <c r="AD91" s="221">
        <f t="shared" si="1"/>
        <v>3920000</v>
      </c>
      <c r="AE91" s="221">
        <f t="shared" si="2"/>
        <v>3920000</v>
      </c>
    </row>
    <row r="92" spans="1:32" s="181" customFormat="1" ht="75" customHeight="1">
      <c r="A92" s="1635" t="s">
        <v>233</v>
      </c>
      <c r="B92" s="1635"/>
      <c r="C92" s="1635"/>
      <c r="D92" s="1635"/>
      <c r="E92" s="1635"/>
      <c r="F92" s="1635"/>
      <c r="G92" s="1635"/>
      <c r="H92" s="195"/>
      <c r="I92" s="179"/>
      <c r="J92" s="179">
        <f>SUM(J82:J91)</f>
        <v>378000</v>
      </c>
      <c r="K92" s="179"/>
      <c r="L92" s="179">
        <f>SUM(L82:L91)</f>
        <v>0</v>
      </c>
      <c r="M92" s="179"/>
      <c r="N92" s="179">
        <f>SUM(N82:N91)</f>
        <v>248436</v>
      </c>
      <c r="O92" s="178"/>
      <c r="P92" s="178">
        <f>SUM(P82:P91)</f>
        <v>100000</v>
      </c>
      <c r="Q92" s="178">
        <f>SUM(Q82:Q91)</f>
        <v>0</v>
      </c>
      <c r="R92" s="178">
        <f>J92+L92+N92+P92+Q92</f>
        <v>726436</v>
      </c>
      <c r="S92" s="178"/>
      <c r="T92" s="178">
        <f>SUM(T82:T91)</f>
        <v>4578000</v>
      </c>
      <c r="U92" s="178"/>
      <c r="V92" s="178">
        <f>SUM(V82:V91)</f>
        <v>2100000</v>
      </c>
      <c r="W92" s="178"/>
      <c r="X92" s="178">
        <f>SUM(X82:X91)</f>
        <v>114000</v>
      </c>
      <c r="Y92" s="178"/>
      <c r="Z92" s="178">
        <f>SUM(Z82:Z91)</f>
        <v>4700000</v>
      </c>
      <c r="AA92" s="178">
        <f>SUM(AA82:AA91)</f>
        <v>210000</v>
      </c>
      <c r="AB92" s="179">
        <f>SUM(AB85:AB91)</f>
        <v>0</v>
      </c>
      <c r="AC92" s="179">
        <f>SUM(AC82:AC91)</f>
        <v>0</v>
      </c>
      <c r="AD92" s="179">
        <f>T92+V92+X92+Z92+AA92+AB92+AC92</f>
        <v>11702000</v>
      </c>
      <c r="AE92" s="178">
        <f>R92+AD92</f>
        <v>12428436</v>
      </c>
      <c r="AF92" s="180"/>
    </row>
    <row r="93" spans="1:32" s="181" customFormat="1" ht="75" customHeight="1">
      <c r="A93" s="1630" t="s">
        <v>419</v>
      </c>
      <c r="B93" s="1630"/>
      <c r="C93" s="1630"/>
      <c r="D93" s="1630"/>
      <c r="E93" s="1630"/>
      <c r="F93" s="1630"/>
      <c r="G93" s="1630"/>
      <c r="H93" s="1630"/>
      <c r="I93" s="1630"/>
      <c r="J93" s="1630"/>
      <c r="K93" s="1630"/>
      <c r="L93" s="1630"/>
      <c r="M93" s="1630"/>
      <c r="N93" s="1630"/>
      <c r="O93" s="1630"/>
      <c r="P93" s="1630"/>
      <c r="Q93" s="1630"/>
      <c r="R93" s="1630"/>
      <c r="S93" s="1630"/>
      <c r="T93" s="1630"/>
      <c r="U93" s="1630"/>
      <c r="V93" s="1630"/>
      <c r="W93" s="1630"/>
      <c r="X93" s="1630"/>
      <c r="Y93" s="1630"/>
      <c r="Z93" s="1630"/>
      <c r="AA93" s="1630"/>
      <c r="AB93" s="1630"/>
      <c r="AC93" s="1630"/>
      <c r="AD93" s="1630"/>
      <c r="AE93" s="1630"/>
      <c r="AF93" s="180"/>
    </row>
    <row r="94" spans="1:32" s="166" customFormat="1" ht="409.5">
      <c r="A94" s="158">
        <v>142</v>
      </c>
      <c r="B94" s="184">
        <v>1</v>
      </c>
      <c r="C94" s="160" t="s">
        <v>330</v>
      </c>
      <c r="D94" s="161" t="s">
        <v>420</v>
      </c>
      <c r="E94" s="162" t="s">
        <v>421</v>
      </c>
      <c r="F94" s="163">
        <v>18</v>
      </c>
      <c r="G94" s="163"/>
      <c r="H94" s="132">
        <v>2</v>
      </c>
      <c r="I94" s="132">
        <v>9000</v>
      </c>
      <c r="J94" s="132">
        <f>I94*F94*(G94+H94)</f>
        <v>324000</v>
      </c>
      <c r="K94" s="127">
        <v>8002</v>
      </c>
      <c r="L94" s="132">
        <f>SUM(K94*F94*G94)</f>
        <v>0</v>
      </c>
      <c r="M94" s="127">
        <v>6402</v>
      </c>
      <c r="N94" s="132">
        <f>M94*F94*H94</f>
        <v>230472</v>
      </c>
      <c r="O94" s="164">
        <v>10000</v>
      </c>
      <c r="P94" s="164">
        <f>O94*(G94+H94)</f>
        <v>20000</v>
      </c>
      <c r="Q94" s="164"/>
      <c r="R94" s="132">
        <f t="shared" ref="R94:R99" si="3">J94+L94+N94+P94+Q94</f>
        <v>574472</v>
      </c>
      <c r="S94" s="132"/>
      <c r="T94" s="132"/>
      <c r="U94" s="163"/>
      <c r="V94" s="132"/>
      <c r="W94" s="164"/>
      <c r="X94" s="164"/>
      <c r="Y94" s="164"/>
      <c r="Z94" s="164"/>
      <c r="AA94" s="164"/>
      <c r="AB94" s="164"/>
      <c r="AC94" s="164"/>
      <c r="AD94" s="132"/>
      <c r="AE94" s="132">
        <f>AD94+R94</f>
        <v>574472</v>
      </c>
      <c r="AF94" s="165"/>
    </row>
    <row r="95" spans="1:32" s="239" customFormat="1" ht="409.5">
      <c r="A95" s="158">
        <v>147</v>
      </c>
      <c r="B95" s="184">
        <v>6</v>
      </c>
      <c r="C95" s="237" t="s">
        <v>422</v>
      </c>
      <c r="D95" s="161" t="s">
        <v>414</v>
      </c>
      <c r="E95" s="162" t="s">
        <v>338</v>
      </c>
      <c r="F95" s="220">
        <v>18</v>
      </c>
      <c r="G95" s="238"/>
      <c r="H95" s="132">
        <v>1</v>
      </c>
      <c r="I95" s="221">
        <v>9000</v>
      </c>
      <c r="J95" s="221">
        <f>I95*F95*(G95+H95)</f>
        <v>162000</v>
      </c>
      <c r="K95" s="221">
        <v>7658</v>
      </c>
      <c r="L95" s="221">
        <f>SUM(K95*F95*G95)</f>
        <v>0</v>
      </c>
      <c r="M95" s="221">
        <v>6126</v>
      </c>
      <c r="N95" s="221">
        <f>M95*F95*H95</f>
        <v>110268</v>
      </c>
      <c r="O95" s="164">
        <v>10000</v>
      </c>
      <c r="P95" s="164">
        <f>O95*(G95+H95)</f>
        <v>10000</v>
      </c>
      <c r="Q95" s="164">
        <v>0</v>
      </c>
      <c r="R95" s="132">
        <f t="shared" si="3"/>
        <v>282268</v>
      </c>
      <c r="S95" s="220"/>
      <c r="T95" s="132">
        <f>S95*F95*(G95+H95)</f>
        <v>0</v>
      </c>
      <c r="U95" s="220"/>
      <c r="V95" s="132">
        <f>U95*F95*(G95+H95)</f>
        <v>0</v>
      </c>
      <c r="W95" s="164"/>
      <c r="X95" s="164"/>
      <c r="Y95" s="164"/>
      <c r="Z95" s="164"/>
      <c r="AA95" s="164"/>
      <c r="AB95" s="164"/>
      <c r="AC95" s="164"/>
      <c r="AD95" s="221">
        <v>0</v>
      </c>
      <c r="AE95" s="221">
        <f>AD95+R95</f>
        <v>282268</v>
      </c>
    </row>
    <row r="96" spans="1:32" s="241" customFormat="1" ht="242.1" customHeight="1">
      <c r="A96" s="158">
        <v>149</v>
      </c>
      <c r="B96" s="184">
        <v>8</v>
      </c>
      <c r="C96" s="237" t="s">
        <v>301</v>
      </c>
      <c r="D96" s="161" t="s">
        <v>376</v>
      </c>
      <c r="E96" s="162" t="s">
        <v>387</v>
      </c>
      <c r="F96" s="220">
        <v>18</v>
      </c>
      <c r="G96" s="238"/>
      <c r="H96" s="132">
        <v>1</v>
      </c>
      <c r="I96" s="221">
        <v>9000</v>
      </c>
      <c r="J96" s="221">
        <f>I96*F96*(G96+H96)</f>
        <v>162000</v>
      </c>
      <c r="K96" s="221">
        <v>7658</v>
      </c>
      <c r="L96" s="221">
        <f>SUM(K96*F96*G96)</f>
        <v>0</v>
      </c>
      <c r="M96" s="221">
        <v>6126</v>
      </c>
      <c r="N96" s="221">
        <f>M96*F96*H96</f>
        <v>110268</v>
      </c>
      <c r="O96" s="164">
        <v>10000</v>
      </c>
      <c r="P96" s="164">
        <f>O96*H96</f>
        <v>10000</v>
      </c>
      <c r="Q96" s="164">
        <v>0</v>
      </c>
      <c r="R96" s="132">
        <f t="shared" si="3"/>
        <v>282268</v>
      </c>
      <c r="S96" s="220"/>
      <c r="T96" s="132">
        <f>S96*F96*(G96+H96)</f>
        <v>0</v>
      </c>
      <c r="U96" s="220"/>
      <c r="V96" s="132">
        <f>U96*F96*(G96+H96)</f>
        <v>0</v>
      </c>
      <c r="W96" s="164"/>
      <c r="X96" s="164"/>
      <c r="Y96" s="164"/>
      <c r="Z96" s="164"/>
      <c r="AA96" s="164"/>
      <c r="AB96" s="164"/>
      <c r="AC96" s="164"/>
      <c r="AD96" s="221">
        <v>0</v>
      </c>
      <c r="AE96" s="221">
        <f>AD96+R96</f>
        <v>282268</v>
      </c>
    </row>
    <row r="97" spans="1:32" s="241" customFormat="1" ht="242.1" customHeight="1">
      <c r="A97" s="158">
        <v>152</v>
      </c>
      <c r="B97" s="184">
        <v>11</v>
      </c>
      <c r="C97" s="242" t="s">
        <v>341</v>
      </c>
      <c r="D97" s="238" t="s">
        <v>378</v>
      </c>
      <c r="E97" s="162" t="s">
        <v>423</v>
      </c>
      <c r="F97" s="220">
        <v>10</v>
      </c>
      <c r="G97" s="238"/>
      <c r="H97" s="238">
        <v>1</v>
      </c>
      <c r="I97" s="221"/>
      <c r="J97" s="243"/>
      <c r="K97" s="221"/>
      <c r="L97" s="243"/>
      <c r="M97" s="243"/>
      <c r="N97" s="243"/>
      <c r="O97" s="164"/>
      <c r="P97" s="164"/>
      <c r="Q97" s="164"/>
      <c r="R97" s="132">
        <f t="shared" si="3"/>
        <v>0</v>
      </c>
      <c r="S97" s="220">
        <v>30000</v>
      </c>
      <c r="T97" s="132">
        <f>S97*F97*(G97+H97)</f>
        <v>300000</v>
      </c>
      <c r="U97" s="220">
        <v>20000</v>
      </c>
      <c r="V97" s="132">
        <f>U97*F97*(G97+H97)</f>
        <v>200000</v>
      </c>
      <c r="W97" s="164">
        <v>20000</v>
      </c>
      <c r="X97" s="164">
        <f>W97*(G97+H97)</f>
        <v>20000</v>
      </c>
      <c r="Y97" s="164">
        <v>900000</v>
      </c>
      <c r="Z97" s="164">
        <f>Y97*(G97)</f>
        <v>0</v>
      </c>
      <c r="AA97" s="164"/>
      <c r="AB97" s="164">
        <v>0</v>
      </c>
      <c r="AC97" s="164">
        <v>0</v>
      </c>
      <c r="AD97" s="221">
        <f>T97+V97+X97+Z97+AA97+AB97+AC97</f>
        <v>520000</v>
      </c>
      <c r="AE97" s="221">
        <f>AD97+R97</f>
        <v>520000</v>
      </c>
    </row>
    <row r="98" spans="1:32" s="241" customFormat="1" ht="242.1" customHeight="1">
      <c r="A98" s="158">
        <v>152</v>
      </c>
      <c r="B98" s="184">
        <v>11</v>
      </c>
      <c r="C98" s="242" t="s">
        <v>341</v>
      </c>
      <c r="D98" s="238" t="s">
        <v>378</v>
      </c>
      <c r="E98" s="162" t="s">
        <v>423</v>
      </c>
      <c r="F98" s="220">
        <v>10</v>
      </c>
      <c r="G98" s="238"/>
      <c r="H98" s="238">
        <v>2</v>
      </c>
      <c r="I98" s="221"/>
      <c r="J98" s="243"/>
      <c r="K98" s="221"/>
      <c r="L98" s="243"/>
      <c r="M98" s="243"/>
      <c r="N98" s="243"/>
      <c r="O98" s="164"/>
      <c r="P98" s="164"/>
      <c r="Q98" s="164"/>
      <c r="R98" s="132">
        <f t="shared" si="3"/>
        <v>0</v>
      </c>
      <c r="S98" s="220">
        <v>30000</v>
      </c>
      <c r="T98" s="132">
        <f>S98*F98*(G98+H98)</f>
        <v>600000</v>
      </c>
      <c r="U98" s="220">
        <v>20000</v>
      </c>
      <c r="V98" s="132">
        <f>U98*F98*(G98+H98)</f>
        <v>400000</v>
      </c>
      <c r="W98" s="164">
        <v>20000</v>
      </c>
      <c r="X98" s="164">
        <f>W98*(G98+H98)</f>
        <v>40000</v>
      </c>
      <c r="Y98" s="164">
        <v>900000</v>
      </c>
      <c r="Z98" s="164">
        <f>Y98*(G98)</f>
        <v>0</v>
      </c>
      <c r="AA98" s="164"/>
      <c r="AB98" s="164">
        <v>0</v>
      </c>
      <c r="AC98" s="164">
        <v>0</v>
      </c>
      <c r="AD98" s="221">
        <f>T98+V98+X98+Z98+AA98+AB98+AC98</f>
        <v>1040000</v>
      </c>
      <c r="AE98" s="221">
        <f>AD98+R98</f>
        <v>1040000</v>
      </c>
    </row>
    <row r="99" spans="1:32" s="181" customFormat="1" ht="75" customHeight="1">
      <c r="A99" s="1635" t="s">
        <v>233</v>
      </c>
      <c r="B99" s="1635"/>
      <c r="C99" s="1635"/>
      <c r="D99" s="1635"/>
      <c r="E99" s="1635"/>
      <c r="F99" s="1635"/>
      <c r="G99" s="1635"/>
      <c r="H99" s="195"/>
      <c r="I99" s="179"/>
      <c r="J99" s="179">
        <f>SUM(J94:J98)</f>
        <v>648000</v>
      </c>
      <c r="K99" s="179"/>
      <c r="L99" s="179">
        <f>SUM(L94:L98)</f>
        <v>0</v>
      </c>
      <c r="M99" s="179"/>
      <c r="N99" s="179">
        <f>SUM(N94:N98)</f>
        <v>451008</v>
      </c>
      <c r="O99" s="178"/>
      <c r="P99" s="178">
        <f>SUM(P94:P98)</f>
        <v>40000</v>
      </c>
      <c r="Q99" s="178">
        <f>SUM(Q94:Q98)</f>
        <v>0</v>
      </c>
      <c r="R99" s="178">
        <f t="shared" si="3"/>
        <v>1139008</v>
      </c>
      <c r="S99" s="178"/>
      <c r="T99" s="178">
        <f>SUM(T94:T98)</f>
        <v>900000</v>
      </c>
      <c r="U99" s="178"/>
      <c r="V99" s="178">
        <f>SUM(V94:V98)</f>
        <v>600000</v>
      </c>
      <c r="W99" s="178"/>
      <c r="X99" s="178">
        <f>SUM(X94:X98)</f>
        <v>60000</v>
      </c>
      <c r="Y99" s="178"/>
      <c r="Z99" s="178">
        <f>SUM(Z94:Z98)</f>
        <v>0</v>
      </c>
      <c r="AA99" s="178">
        <f>SUM(AA95:AA98)</f>
        <v>0</v>
      </c>
      <c r="AB99" s="179">
        <f>SUM(AB94:AB98)</f>
        <v>0</v>
      </c>
      <c r="AC99" s="179">
        <f>SUM(AC95:AC98)</f>
        <v>0</v>
      </c>
      <c r="AD99" s="179">
        <f>T99+V99+Z99+AA99+AB99+AC99+X99</f>
        <v>1560000</v>
      </c>
      <c r="AE99" s="178">
        <f>R99+AD99</f>
        <v>2699008</v>
      </c>
      <c r="AF99" s="180"/>
    </row>
    <row r="100" spans="1:32" s="181" customFormat="1" ht="75" customHeight="1">
      <c r="A100" s="1630" t="s">
        <v>424</v>
      </c>
      <c r="B100" s="1630"/>
      <c r="C100" s="1630"/>
      <c r="D100" s="1630"/>
      <c r="E100" s="1630"/>
      <c r="F100" s="1630"/>
      <c r="G100" s="1630"/>
      <c r="H100" s="1630"/>
      <c r="I100" s="1630"/>
      <c r="J100" s="1630"/>
      <c r="K100" s="1630"/>
      <c r="L100" s="1630"/>
      <c r="M100" s="1630"/>
      <c r="N100" s="1630"/>
      <c r="O100" s="1630"/>
      <c r="P100" s="1630"/>
      <c r="Q100" s="1630"/>
      <c r="R100" s="1630"/>
      <c r="S100" s="1630"/>
      <c r="T100" s="1630"/>
      <c r="U100" s="1630"/>
      <c r="V100" s="1630"/>
      <c r="W100" s="1630"/>
      <c r="X100" s="1630"/>
      <c r="Y100" s="1630"/>
      <c r="Z100" s="1630"/>
      <c r="AA100" s="1630"/>
      <c r="AB100" s="1630"/>
      <c r="AC100" s="1630"/>
      <c r="AD100" s="1630"/>
      <c r="AE100" s="1630"/>
      <c r="AF100" s="180"/>
    </row>
    <row r="101" spans="1:32" s="166" customFormat="1" ht="282">
      <c r="A101" s="156">
        <v>155</v>
      </c>
      <c r="B101" s="135">
        <v>3</v>
      </c>
      <c r="C101" s="160" t="s">
        <v>307</v>
      </c>
      <c r="D101" s="161" t="s">
        <v>397</v>
      </c>
      <c r="E101" s="162" t="s">
        <v>425</v>
      </c>
      <c r="F101" s="163">
        <v>16</v>
      </c>
      <c r="G101" s="163"/>
      <c r="H101" s="132">
        <v>2</v>
      </c>
      <c r="I101" s="132">
        <v>9000</v>
      </c>
      <c r="J101" s="132">
        <f>I101*F101*(G101+H101)</f>
        <v>288000</v>
      </c>
      <c r="K101" s="127">
        <v>8002</v>
      </c>
      <c r="L101" s="132">
        <f>SUM(K101*F101*G101)</f>
        <v>0</v>
      </c>
      <c r="M101" s="127">
        <v>6402</v>
      </c>
      <c r="N101" s="132">
        <f>M101*F101*H101</f>
        <v>204864</v>
      </c>
      <c r="O101" s="164">
        <f>10000+2570</f>
        <v>12570</v>
      </c>
      <c r="P101" s="164">
        <f>O101*(G101+H101)</f>
        <v>25140</v>
      </c>
      <c r="Q101" s="164"/>
      <c r="R101" s="132">
        <f>J101+L101+N101+P101+Q101</f>
        <v>518004</v>
      </c>
      <c r="S101" s="132"/>
      <c r="T101" s="132"/>
      <c r="U101" s="163"/>
      <c r="V101" s="132"/>
      <c r="W101" s="164"/>
      <c r="X101" s="164"/>
      <c r="Y101" s="164"/>
      <c r="Z101" s="164"/>
      <c r="AA101" s="164"/>
      <c r="AB101" s="164"/>
      <c r="AC101" s="164"/>
      <c r="AD101" s="132"/>
      <c r="AE101" s="132">
        <f>AD101+R101</f>
        <v>518004</v>
      </c>
      <c r="AF101" s="165"/>
    </row>
    <row r="102" spans="1:32" s="166" customFormat="1" ht="282">
      <c r="A102" s="156">
        <v>155</v>
      </c>
      <c r="B102" s="135">
        <v>3</v>
      </c>
      <c r="C102" s="160" t="s">
        <v>307</v>
      </c>
      <c r="D102" s="161" t="s">
        <v>397</v>
      </c>
      <c r="E102" s="162" t="s">
        <v>425</v>
      </c>
      <c r="F102" s="163">
        <v>16</v>
      </c>
      <c r="G102" s="163"/>
      <c r="H102" s="132">
        <v>2</v>
      </c>
      <c r="I102" s="132">
        <v>9000</v>
      </c>
      <c r="J102" s="132">
        <f>I102*F102*(G102+H102)</f>
        <v>288000</v>
      </c>
      <c r="K102" s="127">
        <v>8002</v>
      </c>
      <c r="L102" s="132">
        <f>SUM(K102*F102*G102)</f>
        <v>0</v>
      </c>
      <c r="M102" s="127">
        <v>6402</v>
      </c>
      <c r="N102" s="132">
        <f>M102*F102*H102</f>
        <v>204864</v>
      </c>
      <c r="O102" s="164">
        <f>10000+2570</f>
        <v>12570</v>
      </c>
      <c r="P102" s="164">
        <f>O102*(G102+H102)</f>
        <v>25140</v>
      </c>
      <c r="Q102" s="164"/>
      <c r="R102" s="132">
        <f>J102+L102+N102+P102+Q102</f>
        <v>518004</v>
      </c>
      <c r="S102" s="132"/>
      <c r="T102" s="132"/>
      <c r="U102" s="163"/>
      <c r="V102" s="132"/>
      <c r="W102" s="164"/>
      <c r="X102" s="164"/>
      <c r="Y102" s="164"/>
      <c r="Z102" s="164"/>
      <c r="AA102" s="164"/>
      <c r="AB102" s="164"/>
      <c r="AC102" s="164"/>
      <c r="AD102" s="132"/>
      <c r="AE102" s="132">
        <f>AD102+R102</f>
        <v>518004</v>
      </c>
      <c r="AF102" s="165"/>
    </row>
    <row r="103" spans="1:32" s="241" customFormat="1" ht="211.5">
      <c r="A103" s="156">
        <v>159</v>
      </c>
      <c r="B103" s="135">
        <v>7</v>
      </c>
      <c r="C103" s="237" t="s">
        <v>426</v>
      </c>
      <c r="D103" s="161" t="s">
        <v>427</v>
      </c>
      <c r="E103" s="162" t="s">
        <v>387</v>
      </c>
      <c r="F103" s="220">
        <v>10</v>
      </c>
      <c r="G103" s="238"/>
      <c r="H103" s="240">
        <v>2</v>
      </c>
      <c r="I103" s="221">
        <v>9000</v>
      </c>
      <c r="J103" s="221">
        <f>I103*F103*(G103+H103)</f>
        <v>180000</v>
      </c>
      <c r="K103" s="221">
        <v>7658</v>
      </c>
      <c r="L103" s="221">
        <f>SUM(K103*F103*G103)</f>
        <v>0</v>
      </c>
      <c r="M103" s="221">
        <v>6126</v>
      </c>
      <c r="N103" s="221">
        <f>M103*F103*H103</f>
        <v>122520</v>
      </c>
      <c r="O103" s="164">
        <v>10000</v>
      </c>
      <c r="P103" s="164">
        <f>O103*H103</f>
        <v>20000</v>
      </c>
      <c r="Q103" s="164">
        <v>0</v>
      </c>
      <c r="R103" s="221">
        <f>J103+L103+N103+P103+Q103</f>
        <v>322520</v>
      </c>
      <c r="S103" s="220"/>
      <c r="T103" s="221"/>
      <c r="U103" s="220"/>
      <c r="V103" s="221"/>
      <c r="W103" s="164"/>
      <c r="X103" s="164"/>
      <c r="Y103" s="164"/>
      <c r="Z103" s="164"/>
      <c r="AA103" s="164"/>
      <c r="AB103" s="164"/>
      <c r="AC103" s="164"/>
      <c r="AD103" s="221">
        <v>0</v>
      </c>
      <c r="AE103" s="221">
        <f>AD103+R103</f>
        <v>322520</v>
      </c>
    </row>
    <row r="104" spans="1:32" s="181" customFormat="1" ht="75" customHeight="1">
      <c r="A104" s="1635" t="s">
        <v>233</v>
      </c>
      <c r="B104" s="1635"/>
      <c r="C104" s="1635"/>
      <c r="D104" s="1635"/>
      <c r="E104" s="1635"/>
      <c r="F104" s="1635"/>
      <c r="G104" s="1635"/>
      <c r="H104" s="195"/>
      <c r="I104" s="179"/>
      <c r="J104" s="179">
        <f>SUM(J101:J103)</f>
        <v>756000</v>
      </c>
      <c r="K104" s="179"/>
      <c r="L104" s="179"/>
      <c r="M104" s="179">
        <f>SUM(M101:M103)</f>
        <v>18930</v>
      </c>
      <c r="N104" s="179">
        <f>SUM(N101:N103)</f>
        <v>532248</v>
      </c>
      <c r="O104" s="179">
        <f>SUM(O101:O103)</f>
        <v>35140</v>
      </c>
      <c r="P104" s="179">
        <f>SUM(P101:P103)</f>
        <v>70280</v>
      </c>
      <c r="Q104" s="179"/>
      <c r="R104" s="179">
        <f>SUM(R101:R103)</f>
        <v>1358528</v>
      </c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>
        <f>SUM(AD101:AD103)</f>
        <v>0</v>
      </c>
      <c r="AE104" s="179">
        <f>SUM(AE101:AE103)</f>
        <v>1358528</v>
      </c>
      <c r="AF104" s="180"/>
    </row>
    <row r="105" spans="1:32" s="247" customFormat="1" ht="75" customHeight="1">
      <c r="A105" s="1638" t="s">
        <v>233</v>
      </c>
      <c r="B105" s="1639"/>
      <c r="C105" s="1639"/>
      <c r="D105" s="1639"/>
      <c r="E105" s="1639"/>
      <c r="F105" s="1639"/>
      <c r="G105" s="1639"/>
      <c r="H105" s="1639"/>
      <c r="I105" s="1639"/>
      <c r="J105" s="1639"/>
      <c r="K105" s="1639"/>
      <c r="L105" s="1639"/>
      <c r="M105" s="1639"/>
      <c r="N105" s="1639"/>
      <c r="O105" s="1639"/>
      <c r="P105" s="1639"/>
      <c r="Q105" s="1639"/>
      <c r="R105" s="244">
        <f>R104+R99+R92+R80+R71+R62+R56+R49+R43+R35+R29+R22+R12</f>
        <v>19442146</v>
      </c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4">
        <f>AD104+AD99+AD92+AD80+AD71+AD62+AD56+AD49+AD43+AD35+AD29+AD22+AD12</f>
        <v>71437002</v>
      </c>
      <c r="AE105" s="244">
        <f>AE104+AE99+AE92+AE80+AE71+AE62+AE56+AE49+AE43+AE35+AE29+AE22+AE12</f>
        <v>90879148</v>
      </c>
      <c r="AF105" s="246">
        <f>AE105</f>
        <v>90879148</v>
      </c>
    </row>
    <row r="106" spans="1:32" s="157" customFormat="1" ht="75" customHeight="1">
      <c r="A106" s="475"/>
      <c r="B106" s="475"/>
      <c r="C106" s="47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7"/>
      <c r="S106" s="478"/>
      <c r="T106" s="478"/>
      <c r="U106" s="478"/>
      <c r="V106" s="478"/>
      <c r="W106" s="478"/>
      <c r="X106" s="478"/>
      <c r="Y106" s="478"/>
      <c r="Z106" s="478"/>
      <c r="AA106" s="478"/>
      <c r="AB106" s="478"/>
      <c r="AC106" s="478"/>
      <c r="AD106" s="479"/>
      <c r="AE106" s="479"/>
      <c r="AF106" s="480"/>
    </row>
    <row r="107" spans="1:32" ht="69" customHeight="1">
      <c r="C107" s="1640" t="s">
        <v>431</v>
      </c>
      <c r="D107" s="1640"/>
      <c r="E107" s="1640"/>
      <c r="F107" s="1640"/>
      <c r="G107" s="1640"/>
      <c r="H107" s="1640"/>
      <c r="I107" s="1640"/>
      <c r="J107" s="1640"/>
      <c r="K107" s="1640"/>
      <c r="L107" s="1640"/>
      <c r="M107" s="1640"/>
      <c r="N107" s="1640"/>
      <c r="O107" s="1640"/>
      <c r="P107" s="1640"/>
      <c r="Q107" s="1640"/>
      <c r="R107" s="1640"/>
      <c r="AD107" s="145"/>
      <c r="AE107" s="178"/>
    </row>
    <row r="108" spans="1:32">
      <c r="C108" s="251"/>
      <c r="D108" s="251"/>
      <c r="E108" s="251"/>
      <c r="F108" s="251"/>
      <c r="G108" s="251"/>
      <c r="H108" s="251"/>
      <c r="I108" s="252"/>
      <c r="J108" s="252"/>
      <c r="K108" s="252"/>
      <c r="L108" s="252"/>
      <c r="M108" s="253"/>
      <c r="N108" s="253"/>
      <c r="O108" s="253"/>
      <c r="P108" s="253"/>
      <c r="Q108" s="253"/>
      <c r="R108" s="253"/>
      <c r="AD108" s="254"/>
      <c r="AE108" s="254"/>
    </row>
    <row r="109" spans="1:32">
      <c r="C109" s="251"/>
      <c r="D109" s="251"/>
      <c r="E109" s="251"/>
      <c r="F109" s="251"/>
      <c r="G109" s="251"/>
      <c r="H109" s="251"/>
      <c r="I109" s="252"/>
      <c r="J109" s="252"/>
      <c r="K109" s="252"/>
      <c r="L109" s="252"/>
      <c r="M109" s="253"/>
      <c r="N109" s="253"/>
      <c r="O109" s="253"/>
      <c r="P109" s="253"/>
      <c r="Q109" s="253"/>
      <c r="R109" s="253"/>
      <c r="AE109" s="255"/>
    </row>
    <row r="110" spans="1:32">
      <c r="C110" s="256"/>
      <c r="D110" s="256"/>
      <c r="E110" s="256"/>
      <c r="F110" s="256"/>
      <c r="G110" s="256"/>
      <c r="H110" s="256"/>
      <c r="I110" s="252"/>
      <c r="J110" s="252"/>
      <c r="K110" s="252"/>
      <c r="L110" s="252"/>
      <c r="M110" s="253"/>
      <c r="N110" s="253"/>
      <c r="O110" s="253"/>
      <c r="P110" s="253"/>
      <c r="Q110" s="253"/>
      <c r="R110" s="253"/>
      <c r="AB110" s="255"/>
      <c r="AE110" s="255"/>
    </row>
    <row r="111" spans="1:32" ht="136.5" customHeight="1">
      <c r="C111" s="1641" t="s">
        <v>432</v>
      </c>
      <c r="D111" s="1641"/>
      <c r="E111" s="1641"/>
      <c r="F111" s="1641"/>
      <c r="G111" s="1641"/>
      <c r="H111" s="1641"/>
      <c r="I111" s="1641"/>
      <c r="J111" s="1641"/>
      <c r="K111" s="1641"/>
      <c r="L111" s="1641"/>
      <c r="M111" s="1641"/>
      <c r="N111" s="1641"/>
      <c r="O111" s="1641"/>
      <c r="P111" s="1641"/>
      <c r="Q111" s="1641"/>
      <c r="R111" s="1641"/>
      <c r="AE111" s="255"/>
    </row>
  </sheetData>
  <mergeCells count="55">
    <mergeCell ref="A100:AE100"/>
    <mergeCell ref="A104:G104"/>
    <mergeCell ref="A105:Q105"/>
    <mergeCell ref="C107:R107"/>
    <mergeCell ref="C111:R111"/>
    <mergeCell ref="A99:G99"/>
    <mergeCell ref="A50:AE50"/>
    <mergeCell ref="A56:G56"/>
    <mergeCell ref="A57:AE57"/>
    <mergeCell ref="A62:G62"/>
    <mergeCell ref="A63:AE63"/>
    <mergeCell ref="A71:G71"/>
    <mergeCell ref="A72:AE72"/>
    <mergeCell ref="A80:G80"/>
    <mergeCell ref="A81:AE81"/>
    <mergeCell ref="A92:G92"/>
    <mergeCell ref="A93:AE93"/>
    <mergeCell ref="A49:G49"/>
    <mergeCell ref="A7:AE7"/>
    <mergeCell ref="A12:G12"/>
    <mergeCell ref="A13:AE13"/>
    <mergeCell ref="A22:G22"/>
    <mergeCell ref="A23:AE23"/>
    <mergeCell ref="A29:G29"/>
    <mergeCell ref="A30:AE30"/>
    <mergeCell ref="A35:G35"/>
    <mergeCell ref="A36:AE36"/>
    <mergeCell ref="A43:G43"/>
    <mergeCell ref="A44:AE44"/>
    <mergeCell ref="A6:AE6"/>
    <mergeCell ref="S2:AD2"/>
    <mergeCell ref="AE2:AE4"/>
    <mergeCell ref="H3:H4"/>
    <mergeCell ref="I3:J3"/>
    <mergeCell ref="K3:L3"/>
    <mergeCell ref="M3:N3"/>
    <mergeCell ref="O3:P3"/>
    <mergeCell ref="S3:T3"/>
    <mergeCell ref="U3:V3"/>
    <mergeCell ref="W3:X3"/>
    <mergeCell ref="Y3:Z3"/>
    <mergeCell ref="AA3:AA4"/>
    <mergeCell ref="AB3:AB4"/>
    <mergeCell ref="AC3:AC4"/>
    <mergeCell ref="AD3:AD4"/>
    <mergeCell ref="A1:AE1"/>
    <mergeCell ref="A2:A4"/>
    <mergeCell ref="B2:B4"/>
    <mergeCell ref="C2:C4"/>
    <mergeCell ref="D2:D4"/>
    <mergeCell ref="E2:E4"/>
    <mergeCell ref="F2:F4"/>
    <mergeCell ref="G2:G4"/>
    <mergeCell ref="I2:Q2"/>
    <mergeCell ref="R2:R4"/>
  </mergeCells>
  <pageMargins left="0.7" right="0.7" top="0.75" bottom="0.75" header="0.3" footer="0.3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AH135"/>
  <sheetViews>
    <sheetView view="pageBreakPreview" topLeftCell="A115" zoomScale="20" zoomScaleNormal="100" zoomScaleSheetLayoutView="20" workbookViewId="0">
      <selection activeCell="E126" sqref="E126:T126"/>
    </sheetView>
  </sheetViews>
  <sheetFormatPr defaultRowHeight="66.75"/>
  <cols>
    <col min="1" max="1" width="24.42578125" style="275" customWidth="1"/>
    <col min="2" max="2" width="20.140625" style="388" bestFit="1" customWidth="1"/>
    <col min="3" max="3" width="48.85546875" style="395" customWidth="1"/>
    <col min="4" max="4" width="56.5703125" style="392" customWidth="1"/>
    <col min="5" max="5" width="69.28515625" style="392" customWidth="1"/>
    <col min="6" max="6" width="17.140625" style="392" customWidth="1"/>
    <col min="7" max="7" width="16.5703125" style="392" customWidth="1"/>
    <col min="8" max="8" width="0.140625" style="392" customWidth="1"/>
    <col min="9" max="9" width="46" style="392" customWidth="1"/>
    <col min="10" max="10" width="55.5703125" style="392" customWidth="1"/>
    <col min="11" max="11" width="30.5703125" style="392" customWidth="1"/>
    <col min="12" max="12" width="56.7109375" style="392" customWidth="1"/>
    <col min="13" max="13" width="35.28515625" style="392" customWidth="1"/>
    <col min="14" max="14" width="42.5703125" style="392" customWidth="1"/>
    <col min="15" max="15" width="36.85546875" style="393" customWidth="1"/>
    <col min="16" max="16" width="44.42578125" style="393" customWidth="1"/>
    <col min="17" max="17" width="52.42578125" style="404" customWidth="1"/>
    <col min="18" max="18" width="56.5703125" style="413" customWidth="1"/>
    <col min="19" max="19" width="48.85546875" style="393" customWidth="1"/>
    <col min="20" max="20" width="62.140625" style="393" customWidth="1"/>
    <col min="21" max="21" width="45" style="393" customWidth="1"/>
    <col min="22" max="22" width="66.85546875" style="393" customWidth="1"/>
    <col min="23" max="24" width="53.5703125" style="393" customWidth="1"/>
    <col min="25" max="25" width="55.28515625" style="393" customWidth="1"/>
    <col min="26" max="26" width="52.5703125" style="393" customWidth="1"/>
    <col min="27" max="27" width="50.5703125" style="393" customWidth="1"/>
    <col min="28" max="28" width="53.7109375" style="392" customWidth="1"/>
    <col min="29" max="29" width="56.28515625" style="392" customWidth="1"/>
    <col min="30" max="30" width="67.7109375" style="392" customWidth="1"/>
    <col min="31" max="31" width="65.28515625" style="392" customWidth="1"/>
    <col min="32" max="32" width="80" style="260" customWidth="1"/>
    <col min="33" max="33" width="58.5703125" style="261" customWidth="1"/>
    <col min="34" max="34" width="74.28515625" style="261" customWidth="1"/>
    <col min="35" max="40" width="50.7109375" style="261" customWidth="1"/>
    <col min="41" max="63" width="10.7109375" style="261" customWidth="1"/>
    <col min="64" max="252" width="9.140625" style="261"/>
    <col min="253" max="253" width="21.42578125" style="261" customWidth="1"/>
    <col min="254" max="254" width="16.85546875" style="261" customWidth="1"/>
    <col min="255" max="255" width="104.7109375" style="261" customWidth="1"/>
    <col min="256" max="256" width="84.28515625" style="261" customWidth="1"/>
    <col min="257" max="257" width="93" style="261" customWidth="1"/>
    <col min="258" max="277" width="9.140625" style="261" customWidth="1"/>
    <col min="278" max="278" width="75.85546875" style="261" customWidth="1"/>
    <col min="279" max="279" width="10.7109375" style="261" customWidth="1"/>
    <col min="280" max="280" width="58.5703125" style="261" customWidth="1"/>
    <col min="281" max="281" width="50.7109375" style="261" customWidth="1"/>
    <col min="282" max="282" width="57.85546875" style="261" customWidth="1"/>
    <col min="283" max="283" width="60.85546875" style="261" customWidth="1"/>
    <col min="284" max="285" width="57.85546875" style="261" customWidth="1"/>
    <col min="286" max="286" width="58.5703125" style="261" customWidth="1"/>
    <col min="287" max="287" width="56.42578125" style="261" customWidth="1"/>
    <col min="288" max="288" width="50.7109375" style="261" customWidth="1"/>
    <col min="289" max="289" width="58.5703125" style="261" customWidth="1"/>
    <col min="290" max="290" width="55.7109375" style="261" customWidth="1"/>
    <col min="291" max="296" width="50.7109375" style="261" customWidth="1"/>
    <col min="297" max="319" width="10.7109375" style="261" customWidth="1"/>
    <col min="320" max="508" width="9.140625" style="261"/>
    <col min="509" max="509" width="21.42578125" style="261" customWidth="1"/>
    <col min="510" max="510" width="16.85546875" style="261" customWidth="1"/>
    <col min="511" max="511" width="104.7109375" style="261" customWidth="1"/>
    <col min="512" max="512" width="84.28515625" style="261" customWidth="1"/>
    <col min="513" max="513" width="93" style="261" customWidth="1"/>
    <col min="514" max="533" width="9.140625" style="261" customWidth="1"/>
    <col min="534" max="534" width="75.85546875" style="261" customWidth="1"/>
    <col min="535" max="535" width="10.7109375" style="261" customWidth="1"/>
    <col min="536" max="536" width="58.5703125" style="261" customWidth="1"/>
    <col min="537" max="537" width="50.7109375" style="261" customWidth="1"/>
    <col min="538" max="538" width="57.85546875" style="261" customWidth="1"/>
    <col min="539" max="539" width="60.85546875" style="261" customWidth="1"/>
    <col min="540" max="541" width="57.85546875" style="261" customWidth="1"/>
    <col min="542" max="542" width="58.5703125" style="261" customWidth="1"/>
    <col min="543" max="543" width="56.42578125" style="261" customWidth="1"/>
    <col min="544" max="544" width="50.7109375" style="261" customWidth="1"/>
    <col min="545" max="545" width="58.5703125" style="261" customWidth="1"/>
    <col min="546" max="546" width="55.7109375" style="261" customWidth="1"/>
    <col min="547" max="552" width="50.7109375" style="261" customWidth="1"/>
    <col min="553" max="575" width="10.7109375" style="261" customWidth="1"/>
    <col min="576" max="764" width="9.140625" style="261"/>
    <col min="765" max="765" width="21.42578125" style="261" customWidth="1"/>
    <col min="766" max="766" width="16.85546875" style="261" customWidth="1"/>
    <col min="767" max="767" width="104.7109375" style="261" customWidth="1"/>
    <col min="768" max="768" width="84.28515625" style="261" customWidth="1"/>
    <col min="769" max="769" width="93" style="261" customWidth="1"/>
    <col min="770" max="789" width="9.140625" style="261" customWidth="1"/>
    <col min="790" max="790" width="75.85546875" style="261" customWidth="1"/>
    <col min="791" max="791" width="10.7109375" style="261" customWidth="1"/>
    <col min="792" max="792" width="58.5703125" style="261" customWidth="1"/>
    <col min="793" max="793" width="50.7109375" style="261" customWidth="1"/>
    <col min="794" max="794" width="57.85546875" style="261" customWidth="1"/>
    <col min="795" max="795" width="60.85546875" style="261" customWidth="1"/>
    <col min="796" max="797" width="57.85546875" style="261" customWidth="1"/>
    <col min="798" max="798" width="58.5703125" style="261" customWidth="1"/>
    <col min="799" max="799" width="56.42578125" style="261" customWidth="1"/>
    <col min="800" max="800" width="50.7109375" style="261" customWidth="1"/>
    <col min="801" max="801" width="58.5703125" style="261" customWidth="1"/>
    <col min="802" max="802" width="55.7109375" style="261" customWidth="1"/>
    <col min="803" max="808" width="50.7109375" style="261" customWidth="1"/>
    <col min="809" max="831" width="10.7109375" style="261" customWidth="1"/>
    <col min="832" max="1020" width="9.140625" style="261"/>
    <col min="1021" max="1021" width="21.42578125" style="261" customWidth="1"/>
    <col min="1022" max="1022" width="16.85546875" style="261" customWidth="1"/>
    <col min="1023" max="1023" width="104.7109375" style="261" customWidth="1"/>
    <col min="1024" max="1024" width="84.28515625" style="261" customWidth="1"/>
    <col min="1025" max="1025" width="93" style="261" customWidth="1"/>
    <col min="1026" max="1045" width="9.140625" style="261" customWidth="1"/>
    <col min="1046" max="1046" width="75.85546875" style="261" customWidth="1"/>
    <col min="1047" max="1047" width="10.7109375" style="261" customWidth="1"/>
    <col min="1048" max="1048" width="58.5703125" style="261" customWidth="1"/>
    <col min="1049" max="1049" width="50.7109375" style="261" customWidth="1"/>
    <col min="1050" max="1050" width="57.85546875" style="261" customWidth="1"/>
    <col min="1051" max="1051" width="60.85546875" style="261" customWidth="1"/>
    <col min="1052" max="1053" width="57.85546875" style="261" customWidth="1"/>
    <col min="1054" max="1054" width="58.5703125" style="261" customWidth="1"/>
    <col min="1055" max="1055" width="56.42578125" style="261" customWidth="1"/>
    <col min="1056" max="1056" width="50.7109375" style="261" customWidth="1"/>
    <col min="1057" max="1057" width="58.5703125" style="261" customWidth="1"/>
    <col min="1058" max="1058" width="55.7109375" style="261" customWidth="1"/>
    <col min="1059" max="1064" width="50.7109375" style="261" customWidth="1"/>
    <col min="1065" max="1087" width="10.7109375" style="261" customWidth="1"/>
    <col min="1088" max="1276" width="9.140625" style="261"/>
    <col min="1277" max="1277" width="21.42578125" style="261" customWidth="1"/>
    <col min="1278" max="1278" width="16.85546875" style="261" customWidth="1"/>
    <col min="1279" max="1279" width="104.7109375" style="261" customWidth="1"/>
    <col min="1280" max="1280" width="84.28515625" style="261" customWidth="1"/>
    <col min="1281" max="1281" width="93" style="261" customWidth="1"/>
    <col min="1282" max="1301" width="9.140625" style="261" customWidth="1"/>
    <col min="1302" max="1302" width="75.85546875" style="261" customWidth="1"/>
    <col min="1303" max="1303" width="10.7109375" style="261" customWidth="1"/>
    <col min="1304" max="1304" width="58.5703125" style="261" customWidth="1"/>
    <col min="1305" max="1305" width="50.7109375" style="261" customWidth="1"/>
    <col min="1306" max="1306" width="57.85546875" style="261" customWidth="1"/>
    <col min="1307" max="1307" width="60.85546875" style="261" customWidth="1"/>
    <col min="1308" max="1309" width="57.85546875" style="261" customWidth="1"/>
    <col min="1310" max="1310" width="58.5703125" style="261" customWidth="1"/>
    <col min="1311" max="1311" width="56.42578125" style="261" customWidth="1"/>
    <col min="1312" max="1312" width="50.7109375" style="261" customWidth="1"/>
    <col min="1313" max="1313" width="58.5703125" style="261" customWidth="1"/>
    <col min="1314" max="1314" width="55.7109375" style="261" customWidth="1"/>
    <col min="1315" max="1320" width="50.7109375" style="261" customWidth="1"/>
    <col min="1321" max="1343" width="10.7109375" style="261" customWidth="1"/>
    <col min="1344" max="1532" width="9.140625" style="261"/>
    <col min="1533" max="1533" width="21.42578125" style="261" customWidth="1"/>
    <col min="1534" max="1534" width="16.85546875" style="261" customWidth="1"/>
    <col min="1535" max="1535" width="104.7109375" style="261" customWidth="1"/>
    <col min="1536" max="1536" width="84.28515625" style="261" customWidth="1"/>
    <col min="1537" max="1537" width="93" style="261" customWidth="1"/>
    <col min="1538" max="1557" width="9.140625" style="261" customWidth="1"/>
    <col min="1558" max="1558" width="75.85546875" style="261" customWidth="1"/>
    <col min="1559" max="1559" width="10.7109375" style="261" customWidth="1"/>
    <col min="1560" max="1560" width="58.5703125" style="261" customWidth="1"/>
    <col min="1561" max="1561" width="50.7109375" style="261" customWidth="1"/>
    <col min="1562" max="1562" width="57.85546875" style="261" customWidth="1"/>
    <col min="1563" max="1563" width="60.85546875" style="261" customWidth="1"/>
    <col min="1564" max="1565" width="57.85546875" style="261" customWidth="1"/>
    <col min="1566" max="1566" width="58.5703125" style="261" customWidth="1"/>
    <col min="1567" max="1567" width="56.42578125" style="261" customWidth="1"/>
    <col min="1568" max="1568" width="50.7109375" style="261" customWidth="1"/>
    <col min="1569" max="1569" width="58.5703125" style="261" customWidth="1"/>
    <col min="1570" max="1570" width="55.7109375" style="261" customWidth="1"/>
    <col min="1571" max="1576" width="50.7109375" style="261" customWidth="1"/>
    <col min="1577" max="1599" width="10.7109375" style="261" customWidth="1"/>
    <col min="1600" max="1788" width="9.140625" style="261"/>
    <col min="1789" max="1789" width="21.42578125" style="261" customWidth="1"/>
    <col min="1790" max="1790" width="16.85546875" style="261" customWidth="1"/>
    <col min="1791" max="1791" width="104.7109375" style="261" customWidth="1"/>
    <col min="1792" max="1792" width="84.28515625" style="261" customWidth="1"/>
    <col min="1793" max="1793" width="93" style="261" customWidth="1"/>
    <col min="1794" max="1813" width="9.140625" style="261" customWidth="1"/>
    <col min="1814" max="1814" width="75.85546875" style="261" customWidth="1"/>
    <col min="1815" max="1815" width="10.7109375" style="261" customWidth="1"/>
    <col min="1816" max="1816" width="58.5703125" style="261" customWidth="1"/>
    <col min="1817" max="1817" width="50.7109375" style="261" customWidth="1"/>
    <col min="1818" max="1818" width="57.85546875" style="261" customWidth="1"/>
    <col min="1819" max="1819" width="60.85546875" style="261" customWidth="1"/>
    <col min="1820" max="1821" width="57.85546875" style="261" customWidth="1"/>
    <col min="1822" max="1822" width="58.5703125" style="261" customWidth="1"/>
    <col min="1823" max="1823" width="56.42578125" style="261" customWidth="1"/>
    <col min="1824" max="1824" width="50.7109375" style="261" customWidth="1"/>
    <col min="1825" max="1825" width="58.5703125" style="261" customWidth="1"/>
    <col min="1826" max="1826" width="55.7109375" style="261" customWidth="1"/>
    <col min="1827" max="1832" width="50.7109375" style="261" customWidth="1"/>
    <col min="1833" max="1855" width="10.7109375" style="261" customWidth="1"/>
    <col min="1856" max="2044" width="9.140625" style="261"/>
    <col min="2045" max="2045" width="21.42578125" style="261" customWidth="1"/>
    <col min="2046" max="2046" width="16.85546875" style="261" customWidth="1"/>
    <col min="2047" max="2047" width="104.7109375" style="261" customWidth="1"/>
    <col min="2048" max="2048" width="84.28515625" style="261" customWidth="1"/>
    <col min="2049" max="2049" width="93" style="261" customWidth="1"/>
    <col min="2050" max="2069" width="9.140625" style="261" customWidth="1"/>
    <col min="2070" max="2070" width="75.85546875" style="261" customWidth="1"/>
    <col min="2071" max="2071" width="10.7109375" style="261" customWidth="1"/>
    <col min="2072" max="2072" width="58.5703125" style="261" customWidth="1"/>
    <col min="2073" max="2073" width="50.7109375" style="261" customWidth="1"/>
    <col min="2074" max="2074" width="57.85546875" style="261" customWidth="1"/>
    <col min="2075" max="2075" width="60.85546875" style="261" customWidth="1"/>
    <col min="2076" max="2077" width="57.85546875" style="261" customWidth="1"/>
    <col min="2078" max="2078" width="58.5703125" style="261" customWidth="1"/>
    <col min="2079" max="2079" width="56.42578125" style="261" customWidth="1"/>
    <col min="2080" max="2080" width="50.7109375" style="261" customWidth="1"/>
    <col min="2081" max="2081" width="58.5703125" style="261" customWidth="1"/>
    <col min="2082" max="2082" width="55.7109375" style="261" customWidth="1"/>
    <col min="2083" max="2088" width="50.7109375" style="261" customWidth="1"/>
    <col min="2089" max="2111" width="10.7109375" style="261" customWidth="1"/>
    <col min="2112" max="2300" width="9.140625" style="261"/>
    <col min="2301" max="2301" width="21.42578125" style="261" customWidth="1"/>
    <col min="2302" max="2302" width="16.85546875" style="261" customWidth="1"/>
    <col min="2303" max="2303" width="104.7109375" style="261" customWidth="1"/>
    <col min="2304" max="2304" width="84.28515625" style="261" customWidth="1"/>
    <col min="2305" max="2305" width="93" style="261" customWidth="1"/>
    <col min="2306" max="2325" width="9.140625" style="261" customWidth="1"/>
    <col min="2326" max="2326" width="75.85546875" style="261" customWidth="1"/>
    <col min="2327" max="2327" width="10.7109375" style="261" customWidth="1"/>
    <col min="2328" max="2328" width="58.5703125" style="261" customWidth="1"/>
    <col min="2329" max="2329" width="50.7109375" style="261" customWidth="1"/>
    <col min="2330" max="2330" width="57.85546875" style="261" customWidth="1"/>
    <col min="2331" max="2331" width="60.85546875" style="261" customWidth="1"/>
    <col min="2332" max="2333" width="57.85546875" style="261" customWidth="1"/>
    <col min="2334" max="2334" width="58.5703125" style="261" customWidth="1"/>
    <col min="2335" max="2335" width="56.42578125" style="261" customWidth="1"/>
    <col min="2336" max="2336" width="50.7109375" style="261" customWidth="1"/>
    <col min="2337" max="2337" width="58.5703125" style="261" customWidth="1"/>
    <col min="2338" max="2338" width="55.7109375" style="261" customWidth="1"/>
    <col min="2339" max="2344" width="50.7109375" style="261" customWidth="1"/>
    <col min="2345" max="2367" width="10.7109375" style="261" customWidth="1"/>
    <col min="2368" max="2556" width="9.140625" style="261"/>
    <col min="2557" max="2557" width="21.42578125" style="261" customWidth="1"/>
    <col min="2558" max="2558" width="16.85546875" style="261" customWidth="1"/>
    <col min="2559" max="2559" width="104.7109375" style="261" customWidth="1"/>
    <col min="2560" max="2560" width="84.28515625" style="261" customWidth="1"/>
    <col min="2561" max="2561" width="93" style="261" customWidth="1"/>
    <col min="2562" max="2581" width="9.140625" style="261" customWidth="1"/>
    <col min="2582" max="2582" width="75.85546875" style="261" customWidth="1"/>
    <col min="2583" max="2583" width="10.7109375" style="261" customWidth="1"/>
    <col min="2584" max="2584" width="58.5703125" style="261" customWidth="1"/>
    <col min="2585" max="2585" width="50.7109375" style="261" customWidth="1"/>
    <col min="2586" max="2586" width="57.85546875" style="261" customWidth="1"/>
    <col min="2587" max="2587" width="60.85546875" style="261" customWidth="1"/>
    <col min="2588" max="2589" width="57.85546875" style="261" customWidth="1"/>
    <col min="2590" max="2590" width="58.5703125" style="261" customWidth="1"/>
    <col min="2591" max="2591" width="56.42578125" style="261" customWidth="1"/>
    <col min="2592" max="2592" width="50.7109375" style="261" customWidth="1"/>
    <col min="2593" max="2593" width="58.5703125" style="261" customWidth="1"/>
    <col min="2594" max="2594" width="55.7109375" style="261" customWidth="1"/>
    <col min="2595" max="2600" width="50.7109375" style="261" customWidth="1"/>
    <col min="2601" max="2623" width="10.7109375" style="261" customWidth="1"/>
    <col min="2624" max="2812" width="9.140625" style="261"/>
    <col min="2813" max="2813" width="21.42578125" style="261" customWidth="1"/>
    <col min="2814" max="2814" width="16.85546875" style="261" customWidth="1"/>
    <col min="2815" max="2815" width="104.7109375" style="261" customWidth="1"/>
    <col min="2816" max="2816" width="84.28515625" style="261" customWidth="1"/>
    <col min="2817" max="2817" width="93" style="261" customWidth="1"/>
    <col min="2818" max="2837" width="9.140625" style="261" customWidth="1"/>
    <col min="2838" max="2838" width="75.85546875" style="261" customWidth="1"/>
    <col min="2839" max="2839" width="10.7109375" style="261" customWidth="1"/>
    <col min="2840" max="2840" width="58.5703125" style="261" customWidth="1"/>
    <col min="2841" max="2841" width="50.7109375" style="261" customWidth="1"/>
    <col min="2842" max="2842" width="57.85546875" style="261" customWidth="1"/>
    <col min="2843" max="2843" width="60.85546875" style="261" customWidth="1"/>
    <col min="2844" max="2845" width="57.85546875" style="261" customWidth="1"/>
    <col min="2846" max="2846" width="58.5703125" style="261" customWidth="1"/>
    <col min="2847" max="2847" width="56.42578125" style="261" customWidth="1"/>
    <col min="2848" max="2848" width="50.7109375" style="261" customWidth="1"/>
    <col min="2849" max="2849" width="58.5703125" style="261" customWidth="1"/>
    <col min="2850" max="2850" width="55.7109375" style="261" customWidth="1"/>
    <col min="2851" max="2856" width="50.7109375" style="261" customWidth="1"/>
    <col min="2857" max="2879" width="10.7109375" style="261" customWidth="1"/>
    <col min="2880" max="3068" width="9.140625" style="261"/>
    <col min="3069" max="3069" width="21.42578125" style="261" customWidth="1"/>
    <col min="3070" max="3070" width="16.85546875" style="261" customWidth="1"/>
    <col min="3071" max="3071" width="104.7109375" style="261" customWidth="1"/>
    <col min="3072" max="3072" width="84.28515625" style="261" customWidth="1"/>
    <col min="3073" max="3073" width="93" style="261" customWidth="1"/>
    <col min="3074" max="3093" width="9.140625" style="261" customWidth="1"/>
    <col min="3094" max="3094" width="75.85546875" style="261" customWidth="1"/>
    <col min="3095" max="3095" width="10.7109375" style="261" customWidth="1"/>
    <col min="3096" max="3096" width="58.5703125" style="261" customWidth="1"/>
    <col min="3097" max="3097" width="50.7109375" style="261" customWidth="1"/>
    <col min="3098" max="3098" width="57.85546875" style="261" customWidth="1"/>
    <col min="3099" max="3099" width="60.85546875" style="261" customWidth="1"/>
    <col min="3100" max="3101" width="57.85546875" style="261" customWidth="1"/>
    <col min="3102" max="3102" width="58.5703125" style="261" customWidth="1"/>
    <col min="3103" max="3103" width="56.42578125" style="261" customWidth="1"/>
    <col min="3104" max="3104" width="50.7109375" style="261" customWidth="1"/>
    <col min="3105" max="3105" width="58.5703125" style="261" customWidth="1"/>
    <col min="3106" max="3106" width="55.7109375" style="261" customWidth="1"/>
    <col min="3107" max="3112" width="50.7109375" style="261" customWidth="1"/>
    <col min="3113" max="3135" width="10.7109375" style="261" customWidth="1"/>
    <col min="3136" max="3324" width="9.140625" style="261"/>
    <col min="3325" max="3325" width="21.42578125" style="261" customWidth="1"/>
    <col min="3326" max="3326" width="16.85546875" style="261" customWidth="1"/>
    <col min="3327" max="3327" width="104.7109375" style="261" customWidth="1"/>
    <col min="3328" max="3328" width="84.28515625" style="261" customWidth="1"/>
    <col min="3329" max="3329" width="93" style="261" customWidth="1"/>
    <col min="3330" max="3349" width="9.140625" style="261" customWidth="1"/>
    <col min="3350" max="3350" width="75.85546875" style="261" customWidth="1"/>
    <col min="3351" max="3351" width="10.7109375" style="261" customWidth="1"/>
    <col min="3352" max="3352" width="58.5703125" style="261" customWidth="1"/>
    <col min="3353" max="3353" width="50.7109375" style="261" customWidth="1"/>
    <col min="3354" max="3354" width="57.85546875" style="261" customWidth="1"/>
    <col min="3355" max="3355" width="60.85546875" style="261" customWidth="1"/>
    <col min="3356" max="3357" width="57.85546875" style="261" customWidth="1"/>
    <col min="3358" max="3358" width="58.5703125" style="261" customWidth="1"/>
    <col min="3359" max="3359" width="56.42578125" style="261" customWidth="1"/>
    <col min="3360" max="3360" width="50.7109375" style="261" customWidth="1"/>
    <col min="3361" max="3361" width="58.5703125" style="261" customWidth="1"/>
    <col min="3362" max="3362" width="55.7109375" style="261" customWidth="1"/>
    <col min="3363" max="3368" width="50.7109375" style="261" customWidth="1"/>
    <col min="3369" max="3391" width="10.7109375" style="261" customWidth="1"/>
    <col min="3392" max="3580" width="9.140625" style="261"/>
    <col min="3581" max="3581" width="21.42578125" style="261" customWidth="1"/>
    <col min="3582" max="3582" width="16.85546875" style="261" customWidth="1"/>
    <col min="3583" max="3583" width="104.7109375" style="261" customWidth="1"/>
    <col min="3584" max="3584" width="84.28515625" style="261" customWidth="1"/>
    <col min="3585" max="3585" width="93" style="261" customWidth="1"/>
    <col min="3586" max="3605" width="9.140625" style="261" customWidth="1"/>
    <col min="3606" max="3606" width="75.85546875" style="261" customWidth="1"/>
    <col min="3607" max="3607" width="10.7109375" style="261" customWidth="1"/>
    <col min="3608" max="3608" width="58.5703125" style="261" customWidth="1"/>
    <col min="3609" max="3609" width="50.7109375" style="261" customWidth="1"/>
    <col min="3610" max="3610" width="57.85546875" style="261" customWidth="1"/>
    <col min="3611" max="3611" width="60.85546875" style="261" customWidth="1"/>
    <col min="3612" max="3613" width="57.85546875" style="261" customWidth="1"/>
    <col min="3614" max="3614" width="58.5703125" style="261" customWidth="1"/>
    <col min="3615" max="3615" width="56.42578125" style="261" customWidth="1"/>
    <col min="3616" max="3616" width="50.7109375" style="261" customWidth="1"/>
    <col min="3617" max="3617" width="58.5703125" style="261" customWidth="1"/>
    <col min="3618" max="3618" width="55.7109375" style="261" customWidth="1"/>
    <col min="3619" max="3624" width="50.7109375" style="261" customWidth="1"/>
    <col min="3625" max="3647" width="10.7109375" style="261" customWidth="1"/>
    <col min="3648" max="3836" width="9.140625" style="261"/>
    <col min="3837" max="3837" width="21.42578125" style="261" customWidth="1"/>
    <col min="3838" max="3838" width="16.85546875" style="261" customWidth="1"/>
    <col min="3839" max="3839" width="104.7109375" style="261" customWidth="1"/>
    <col min="3840" max="3840" width="84.28515625" style="261" customWidth="1"/>
    <col min="3841" max="3841" width="93" style="261" customWidth="1"/>
    <col min="3842" max="3861" width="9.140625" style="261" customWidth="1"/>
    <col min="3862" max="3862" width="75.85546875" style="261" customWidth="1"/>
    <col min="3863" max="3863" width="10.7109375" style="261" customWidth="1"/>
    <col min="3864" max="3864" width="58.5703125" style="261" customWidth="1"/>
    <col min="3865" max="3865" width="50.7109375" style="261" customWidth="1"/>
    <col min="3866" max="3866" width="57.85546875" style="261" customWidth="1"/>
    <col min="3867" max="3867" width="60.85546875" style="261" customWidth="1"/>
    <col min="3868" max="3869" width="57.85546875" style="261" customWidth="1"/>
    <col min="3870" max="3870" width="58.5703125" style="261" customWidth="1"/>
    <col min="3871" max="3871" width="56.42578125" style="261" customWidth="1"/>
    <col min="3872" max="3872" width="50.7109375" style="261" customWidth="1"/>
    <col min="3873" max="3873" width="58.5703125" style="261" customWidth="1"/>
    <col min="3874" max="3874" width="55.7109375" style="261" customWidth="1"/>
    <col min="3875" max="3880" width="50.7109375" style="261" customWidth="1"/>
    <col min="3881" max="3903" width="10.7109375" style="261" customWidth="1"/>
    <col min="3904" max="4092" width="9.140625" style="261"/>
    <col min="4093" max="4093" width="21.42578125" style="261" customWidth="1"/>
    <col min="4094" max="4094" width="16.85546875" style="261" customWidth="1"/>
    <col min="4095" max="4095" width="104.7109375" style="261" customWidth="1"/>
    <col min="4096" max="4096" width="84.28515625" style="261" customWidth="1"/>
    <col min="4097" max="4097" width="93" style="261" customWidth="1"/>
    <col min="4098" max="4117" width="9.140625" style="261" customWidth="1"/>
    <col min="4118" max="4118" width="75.85546875" style="261" customWidth="1"/>
    <col min="4119" max="4119" width="10.7109375" style="261" customWidth="1"/>
    <col min="4120" max="4120" width="58.5703125" style="261" customWidth="1"/>
    <col min="4121" max="4121" width="50.7109375" style="261" customWidth="1"/>
    <col min="4122" max="4122" width="57.85546875" style="261" customWidth="1"/>
    <col min="4123" max="4123" width="60.85546875" style="261" customWidth="1"/>
    <col min="4124" max="4125" width="57.85546875" style="261" customWidth="1"/>
    <col min="4126" max="4126" width="58.5703125" style="261" customWidth="1"/>
    <col min="4127" max="4127" width="56.42578125" style="261" customWidth="1"/>
    <col min="4128" max="4128" width="50.7109375" style="261" customWidth="1"/>
    <col min="4129" max="4129" width="58.5703125" style="261" customWidth="1"/>
    <col min="4130" max="4130" width="55.7109375" style="261" customWidth="1"/>
    <col min="4131" max="4136" width="50.7109375" style="261" customWidth="1"/>
    <col min="4137" max="4159" width="10.7109375" style="261" customWidth="1"/>
    <col min="4160" max="4348" width="9.140625" style="261"/>
    <col min="4349" max="4349" width="21.42578125" style="261" customWidth="1"/>
    <col min="4350" max="4350" width="16.85546875" style="261" customWidth="1"/>
    <col min="4351" max="4351" width="104.7109375" style="261" customWidth="1"/>
    <col min="4352" max="4352" width="84.28515625" style="261" customWidth="1"/>
    <col min="4353" max="4353" width="93" style="261" customWidth="1"/>
    <col min="4354" max="4373" width="9.140625" style="261" customWidth="1"/>
    <col min="4374" max="4374" width="75.85546875" style="261" customWidth="1"/>
    <col min="4375" max="4375" width="10.7109375" style="261" customWidth="1"/>
    <col min="4376" max="4376" width="58.5703125" style="261" customWidth="1"/>
    <col min="4377" max="4377" width="50.7109375" style="261" customWidth="1"/>
    <col min="4378" max="4378" width="57.85546875" style="261" customWidth="1"/>
    <col min="4379" max="4379" width="60.85546875" style="261" customWidth="1"/>
    <col min="4380" max="4381" width="57.85546875" style="261" customWidth="1"/>
    <col min="4382" max="4382" width="58.5703125" style="261" customWidth="1"/>
    <col min="4383" max="4383" width="56.42578125" style="261" customWidth="1"/>
    <col min="4384" max="4384" width="50.7109375" style="261" customWidth="1"/>
    <col min="4385" max="4385" width="58.5703125" style="261" customWidth="1"/>
    <col min="4386" max="4386" width="55.7109375" style="261" customWidth="1"/>
    <col min="4387" max="4392" width="50.7109375" style="261" customWidth="1"/>
    <col min="4393" max="4415" width="10.7109375" style="261" customWidth="1"/>
    <col min="4416" max="4604" width="9.140625" style="261"/>
    <col min="4605" max="4605" width="21.42578125" style="261" customWidth="1"/>
    <col min="4606" max="4606" width="16.85546875" style="261" customWidth="1"/>
    <col min="4607" max="4607" width="104.7109375" style="261" customWidth="1"/>
    <col min="4608" max="4608" width="84.28515625" style="261" customWidth="1"/>
    <col min="4609" max="4609" width="93" style="261" customWidth="1"/>
    <col min="4610" max="4629" width="9.140625" style="261" customWidth="1"/>
    <col min="4630" max="4630" width="75.85546875" style="261" customWidth="1"/>
    <col min="4631" max="4631" width="10.7109375" style="261" customWidth="1"/>
    <col min="4632" max="4632" width="58.5703125" style="261" customWidth="1"/>
    <col min="4633" max="4633" width="50.7109375" style="261" customWidth="1"/>
    <col min="4634" max="4634" width="57.85546875" style="261" customWidth="1"/>
    <col min="4635" max="4635" width="60.85546875" style="261" customWidth="1"/>
    <col min="4636" max="4637" width="57.85546875" style="261" customWidth="1"/>
    <col min="4638" max="4638" width="58.5703125" style="261" customWidth="1"/>
    <col min="4639" max="4639" width="56.42578125" style="261" customWidth="1"/>
    <col min="4640" max="4640" width="50.7109375" style="261" customWidth="1"/>
    <col min="4641" max="4641" width="58.5703125" style="261" customWidth="1"/>
    <col min="4642" max="4642" width="55.7109375" style="261" customWidth="1"/>
    <col min="4643" max="4648" width="50.7109375" style="261" customWidth="1"/>
    <col min="4649" max="4671" width="10.7109375" style="261" customWidth="1"/>
    <col min="4672" max="4860" width="9.140625" style="261"/>
    <col min="4861" max="4861" width="21.42578125" style="261" customWidth="1"/>
    <col min="4862" max="4862" width="16.85546875" style="261" customWidth="1"/>
    <col min="4863" max="4863" width="104.7109375" style="261" customWidth="1"/>
    <col min="4864" max="4864" width="84.28515625" style="261" customWidth="1"/>
    <col min="4865" max="4865" width="93" style="261" customWidth="1"/>
    <col min="4866" max="4885" width="9.140625" style="261" customWidth="1"/>
    <col min="4886" max="4886" width="75.85546875" style="261" customWidth="1"/>
    <col min="4887" max="4887" width="10.7109375" style="261" customWidth="1"/>
    <col min="4888" max="4888" width="58.5703125" style="261" customWidth="1"/>
    <col min="4889" max="4889" width="50.7109375" style="261" customWidth="1"/>
    <col min="4890" max="4890" width="57.85546875" style="261" customWidth="1"/>
    <col min="4891" max="4891" width="60.85546875" style="261" customWidth="1"/>
    <col min="4892" max="4893" width="57.85546875" style="261" customWidth="1"/>
    <col min="4894" max="4894" width="58.5703125" style="261" customWidth="1"/>
    <col min="4895" max="4895" width="56.42578125" style="261" customWidth="1"/>
    <col min="4896" max="4896" width="50.7109375" style="261" customWidth="1"/>
    <col min="4897" max="4897" width="58.5703125" style="261" customWidth="1"/>
    <col min="4898" max="4898" width="55.7109375" style="261" customWidth="1"/>
    <col min="4899" max="4904" width="50.7109375" style="261" customWidth="1"/>
    <col min="4905" max="4927" width="10.7109375" style="261" customWidth="1"/>
    <col min="4928" max="5116" width="9.140625" style="261"/>
    <col min="5117" max="5117" width="21.42578125" style="261" customWidth="1"/>
    <col min="5118" max="5118" width="16.85546875" style="261" customWidth="1"/>
    <col min="5119" max="5119" width="104.7109375" style="261" customWidth="1"/>
    <col min="5120" max="5120" width="84.28515625" style="261" customWidth="1"/>
    <col min="5121" max="5121" width="93" style="261" customWidth="1"/>
    <col min="5122" max="5141" width="9.140625" style="261" customWidth="1"/>
    <col min="5142" max="5142" width="75.85546875" style="261" customWidth="1"/>
    <col min="5143" max="5143" width="10.7109375" style="261" customWidth="1"/>
    <col min="5144" max="5144" width="58.5703125" style="261" customWidth="1"/>
    <col min="5145" max="5145" width="50.7109375" style="261" customWidth="1"/>
    <col min="5146" max="5146" width="57.85546875" style="261" customWidth="1"/>
    <col min="5147" max="5147" width="60.85546875" style="261" customWidth="1"/>
    <col min="5148" max="5149" width="57.85546875" style="261" customWidth="1"/>
    <col min="5150" max="5150" width="58.5703125" style="261" customWidth="1"/>
    <col min="5151" max="5151" width="56.42578125" style="261" customWidth="1"/>
    <col min="5152" max="5152" width="50.7109375" style="261" customWidth="1"/>
    <col min="5153" max="5153" width="58.5703125" style="261" customWidth="1"/>
    <col min="5154" max="5154" width="55.7109375" style="261" customWidth="1"/>
    <col min="5155" max="5160" width="50.7109375" style="261" customWidth="1"/>
    <col min="5161" max="5183" width="10.7109375" style="261" customWidth="1"/>
    <col min="5184" max="5372" width="9.140625" style="261"/>
    <col min="5373" max="5373" width="21.42578125" style="261" customWidth="1"/>
    <col min="5374" max="5374" width="16.85546875" style="261" customWidth="1"/>
    <col min="5375" max="5375" width="104.7109375" style="261" customWidth="1"/>
    <col min="5376" max="5376" width="84.28515625" style="261" customWidth="1"/>
    <col min="5377" max="5377" width="93" style="261" customWidth="1"/>
    <col min="5378" max="5397" width="9.140625" style="261" customWidth="1"/>
    <col min="5398" max="5398" width="75.85546875" style="261" customWidth="1"/>
    <col min="5399" max="5399" width="10.7109375" style="261" customWidth="1"/>
    <col min="5400" max="5400" width="58.5703125" style="261" customWidth="1"/>
    <col min="5401" max="5401" width="50.7109375" style="261" customWidth="1"/>
    <col min="5402" max="5402" width="57.85546875" style="261" customWidth="1"/>
    <col min="5403" max="5403" width="60.85546875" style="261" customWidth="1"/>
    <col min="5404" max="5405" width="57.85546875" style="261" customWidth="1"/>
    <col min="5406" max="5406" width="58.5703125" style="261" customWidth="1"/>
    <col min="5407" max="5407" width="56.42578125" style="261" customWidth="1"/>
    <col min="5408" max="5408" width="50.7109375" style="261" customWidth="1"/>
    <col min="5409" max="5409" width="58.5703125" style="261" customWidth="1"/>
    <col min="5410" max="5410" width="55.7109375" style="261" customWidth="1"/>
    <col min="5411" max="5416" width="50.7109375" style="261" customWidth="1"/>
    <col min="5417" max="5439" width="10.7109375" style="261" customWidth="1"/>
    <col min="5440" max="5628" width="9.140625" style="261"/>
    <col min="5629" max="5629" width="21.42578125" style="261" customWidth="1"/>
    <col min="5630" max="5630" width="16.85546875" style="261" customWidth="1"/>
    <col min="5631" max="5631" width="104.7109375" style="261" customWidth="1"/>
    <col min="5632" max="5632" width="84.28515625" style="261" customWidth="1"/>
    <col min="5633" max="5633" width="93" style="261" customWidth="1"/>
    <col min="5634" max="5653" width="9.140625" style="261" customWidth="1"/>
    <col min="5654" max="5654" width="75.85546875" style="261" customWidth="1"/>
    <col min="5655" max="5655" width="10.7109375" style="261" customWidth="1"/>
    <col min="5656" max="5656" width="58.5703125" style="261" customWidth="1"/>
    <col min="5657" max="5657" width="50.7109375" style="261" customWidth="1"/>
    <col min="5658" max="5658" width="57.85546875" style="261" customWidth="1"/>
    <col min="5659" max="5659" width="60.85546875" style="261" customWidth="1"/>
    <col min="5660" max="5661" width="57.85546875" style="261" customWidth="1"/>
    <col min="5662" max="5662" width="58.5703125" style="261" customWidth="1"/>
    <col min="5663" max="5663" width="56.42578125" style="261" customWidth="1"/>
    <col min="5664" max="5664" width="50.7109375" style="261" customWidth="1"/>
    <col min="5665" max="5665" width="58.5703125" style="261" customWidth="1"/>
    <col min="5666" max="5666" width="55.7109375" style="261" customWidth="1"/>
    <col min="5667" max="5672" width="50.7109375" style="261" customWidth="1"/>
    <col min="5673" max="5695" width="10.7109375" style="261" customWidth="1"/>
    <col min="5696" max="5884" width="9.140625" style="261"/>
    <col min="5885" max="5885" width="21.42578125" style="261" customWidth="1"/>
    <col min="5886" max="5886" width="16.85546875" style="261" customWidth="1"/>
    <col min="5887" max="5887" width="104.7109375" style="261" customWidth="1"/>
    <col min="5888" max="5888" width="84.28515625" style="261" customWidth="1"/>
    <col min="5889" max="5889" width="93" style="261" customWidth="1"/>
    <col min="5890" max="5909" width="9.140625" style="261" customWidth="1"/>
    <col min="5910" max="5910" width="75.85546875" style="261" customWidth="1"/>
    <col min="5911" max="5911" width="10.7109375" style="261" customWidth="1"/>
    <col min="5912" max="5912" width="58.5703125" style="261" customWidth="1"/>
    <col min="5913" max="5913" width="50.7109375" style="261" customWidth="1"/>
    <col min="5914" max="5914" width="57.85546875" style="261" customWidth="1"/>
    <col min="5915" max="5915" width="60.85546875" style="261" customWidth="1"/>
    <col min="5916" max="5917" width="57.85546875" style="261" customWidth="1"/>
    <col min="5918" max="5918" width="58.5703125" style="261" customWidth="1"/>
    <col min="5919" max="5919" width="56.42578125" style="261" customWidth="1"/>
    <col min="5920" max="5920" width="50.7109375" style="261" customWidth="1"/>
    <col min="5921" max="5921" width="58.5703125" style="261" customWidth="1"/>
    <col min="5922" max="5922" width="55.7109375" style="261" customWidth="1"/>
    <col min="5923" max="5928" width="50.7109375" style="261" customWidth="1"/>
    <col min="5929" max="5951" width="10.7109375" style="261" customWidth="1"/>
    <col min="5952" max="6140" width="9.140625" style="261"/>
    <col min="6141" max="6141" width="21.42578125" style="261" customWidth="1"/>
    <col min="6142" max="6142" width="16.85546875" style="261" customWidth="1"/>
    <col min="6143" max="6143" width="104.7109375" style="261" customWidth="1"/>
    <col min="6144" max="6144" width="84.28515625" style="261" customWidth="1"/>
    <col min="6145" max="6145" width="93" style="261" customWidth="1"/>
    <col min="6146" max="6165" width="9.140625" style="261" customWidth="1"/>
    <col min="6166" max="6166" width="75.85546875" style="261" customWidth="1"/>
    <col min="6167" max="6167" width="10.7109375" style="261" customWidth="1"/>
    <col min="6168" max="6168" width="58.5703125" style="261" customWidth="1"/>
    <col min="6169" max="6169" width="50.7109375" style="261" customWidth="1"/>
    <col min="6170" max="6170" width="57.85546875" style="261" customWidth="1"/>
    <col min="6171" max="6171" width="60.85546875" style="261" customWidth="1"/>
    <col min="6172" max="6173" width="57.85546875" style="261" customWidth="1"/>
    <col min="6174" max="6174" width="58.5703125" style="261" customWidth="1"/>
    <col min="6175" max="6175" width="56.42578125" style="261" customWidth="1"/>
    <col min="6176" max="6176" width="50.7109375" style="261" customWidth="1"/>
    <col min="6177" max="6177" width="58.5703125" style="261" customWidth="1"/>
    <col min="6178" max="6178" width="55.7109375" style="261" customWidth="1"/>
    <col min="6179" max="6184" width="50.7109375" style="261" customWidth="1"/>
    <col min="6185" max="6207" width="10.7109375" style="261" customWidth="1"/>
    <col min="6208" max="6396" width="9.140625" style="261"/>
    <col min="6397" max="6397" width="21.42578125" style="261" customWidth="1"/>
    <col min="6398" max="6398" width="16.85546875" style="261" customWidth="1"/>
    <col min="6399" max="6399" width="104.7109375" style="261" customWidth="1"/>
    <col min="6400" max="6400" width="84.28515625" style="261" customWidth="1"/>
    <col min="6401" max="6401" width="93" style="261" customWidth="1"/>
    <col min="6402" max="6421" width="9.140625" style="261" customWidth="1"/>
    <col min="6422" max="6422" width="75.85546875" style="261" customWidth="1"/>
    <col min="6423" max="6423" width="10.7109375" style="261" customWidth="1"/>
    <col min="6424" max="6424" width="58.5703125" style="261" customWidth="1"/>
    <col min="6425" max="6425" width="50.7109375" style="261" customWidth="1"/>
    <col min="6426" max="6426" width="57.85546875" style="261" customWidth="1"/>
    <col min="6427" max="6427" width="60.85546875" style="261" customWidth="1"/>
    <col min="6428" max="6429" width="57.85546875" style="261" customWidth="1"/>
    <col min="6430" max="6430" width="58.5703125" style="261" customWidth="1"/>
    <col min="6431" max="6431" width="56.42578125" style="261" customWidth="1"/>
    <col min="6432" max="6432" width="50.7109375" style="261" customWidth="1"/>
    <col min="6433" max="6433" width="58.5703125" style="261" customWidth="1"/>
    <col min="6434" max="6434" width="55.7109375" style="261" customWidth="1"/>
    <col min="6435" max="6440" width="50.7109375" style="261" customWidth="1"/>
    <col min="6441" max="6463" width="10.7109375" style="261" customWidth="1"/>
    <col min="6464" max="6652" width="9.140625" style="261"/>
    <col min="6653" max="6653" width="21.42578125" style="261" customWidth="1"/>
    <col min="6654" max="6654" width="16.85546875" style="261" customWidth="1"/>
    <col min="6655" max="6655" width="104.7109375" style="261" customWidth="1"/>
    <col min="6656" max="6656" width="84.28515625" style="261" customWidth="1"/>
    <col min="6657" max="6657" width="93" style="261" customWidth="1"/>
    <col min="6658" max="6677" width="9.140625" style="261" customWidth="1"/>
    <col min="6678" max="6678" width="75.85546875" style="261" customWidth="1"/>
    <col min="6679" max="6679" width="10.7109375" style="261" customWidth="1"/>
    <col min="6680" max="6680" width="58.5703125" style="261" customWidth="1"/>
    <col min="6681" max="6681" width="50.7109375" style="261" customWidth="1"/>
    <col min="6682" max="6682" width="57.85546875" style="261" customWidth="1"/>
    <col min="6683" max="6683" width="60.85546875" style="261" customWidth="1"/>
    <col min="6684" max="6685" width="57.85546875" style="261" customWidth="1"/>
    <col min="6686" max="6686" width="58.5703125" style="261" customWidth="1"/>
    <col min="6687" max="6687" width="56.42578125" style="261" customWidth="1"/>
    <col min="6688" max="6688" width="50.7109375" style="261" customWidth="1"/>
    <col min="6689" max="6689" width="58.5703125" style="261" customWidth="1"/>
    <col min="6690" max="6690" width="55.7109375" style="261" customWidth="1"/>
    <col min="6691" max="6696" width="50.7109375" style="261" customWidth="1"/>
    <col min="6697" max="6719" width="10.7109375" style="261" customWidth="1"/>
    <col min="6720" max="6908" width="9.140625" style="261"/>
    <col min="6909" max="6909" width="21.42578125" style="261" customWidth="1"/>
    <col min="6910" max="6910" width="16.85546875" style="261" customWidth="1"/>
    <col min="6911" max="6911" width="104.7109375" style="261" customWidth="1"/>
    <col min="6912" max="6912" width="84.28515625" style="261" customWidth="1"/>
    <col min="6913" max="6913" width="93" style="261" customWidth="1"/>
    <col min="6914" max="6933" width="9.140625" style="261" customWidth="1"/>
    <col min="6934" max="6934" width="75.85546875" style="261" customWidth="1"/>
    <col min="6935" max="6935" width="10.7109375" style="261" customWidth="1"/>
    <col min="6936" max="6936" width="58.5703125" style="261" customWidth="1"/>
    <col min="6937" max="6937" width="50.7109375" style="261" customWidth="1"/>
    <col min="6938" max="6938" width="57.85546875" style="261" customWidth="1"/>
    <col min="6939" max="6939" width="60.85546875" style="261" customWidth="1"/>
    <col min="6940" max="6941" width="57.85546875" style="261" customWidth="1"/>
    <col min="6942" max="6942" width="58.5703125" style="261" customWidth="1"/>
    <col min="6943" max="6943" width="56.42578125" style="261" customWidth="1"/>
    <col min="6944" max="6944" width="50.7109375" style="261" customWidth="1"/>
    <col min="6945" max="6945" width="58.5703125" style="261" customWidth="1"/>
    <col min="6946" max="6946" width="55.7109375" style="261" customWidth="1"/>
    <col min="6947" max="6952" width="50.7109375" style="261" customWidth="1"/>
    <col min="6953" max="6975" width="10.7109375" style="261" customWidth="1"/>
    <col min="6976" max="7164" width="9.140625" style="261"/>
    <col min="7165" max="7165" width="21.42578125" style="261" customWidth="1"/>
    <col min="7166" max="7166" width="16.85546875" style="261" customWidth="1"/>
    <col min="7167" max="7167" width="104.7109375" style="261" customWidth="1"/>
    <col min="7168" max="7168" width="84.28515625" style="261" customWidth="1"/>
    <col min="7169" max="7169" width="93" style="261" customWidth="1"/>
    <col min="7170" max="7189" width="9.140625" style="261" customWidth="1"/>
    <col min="7190" max="7190" width="75.85546875" style="261" customWidth="1"/>
    <col min="7191" max="7191" width="10.7109375" style="261" customWidth="1"/>
    <col min="7192" max="7192" width="58.5703125" style="261" customWidth="1"/>
    <col min="7193" max="7193" width="50.7109375" style="261" customWidth="1"/>
    <col min="7194" max="7194" width="57.85546875" style="261" customWidth="1"/>
    <col min="7195" max="7195" width="60.85546875" style="261" customWidth="1"/>
    <col min="7196" max="7197" width="57.85546875" style="261" customWidth="1"/>
    <col min="7198" max="7198" width="58.5703125" style="261" customWidth="1"/>
    <col min="7199" max="7199" width="56.42578125" style="261" customWidth="1"/>
    <col min="7200" max="7200" width="50.7109375" style="261" customWidth="1"/>
    <col min="7201" max="7201" width="58.5703125" style="261" customWidth="1"/>
    <col min="7202" max="7202" width="55.7109375" style="261" customWidth="1"/>
    <col min="7203" max="7208" width="50.7109375" style="261" customWidth="1"/>
    <col min="7209" max="7231" width="10.7109375" style="261" customWidth="1"/>
    <col min="7232" max="7420" width="9.140625" style="261"/>
    <col min="7421" max="7421" width="21.42578125" style="261" customWidth="1"/>
    <col min="7422" max="7422" width="16.85546875" style="261" customWidth="1"/>
    <col min="7423" max="7423" width="104.7109375" style="261" customWidth="1"/>
    <col min="7424" max="7424" width="84.28515625" style="261" customWidth="1"/>
    <col min="7425" max="7425" width="93" style="261" customWidth="1"/>
    <col min="7426" max="7445" width="9.140625" style="261" customWidth="1"/>
    <col min="7446" max="7446" width="75.85546875" style="261" customWidth="1"/>
    <col min="7447" max="7447" width="10.7109375" style="261" customWidth="1"/>
    <col min="7448" max="7448" width="58.5703125" style="261" customWidth="1"/>
    <col min="7449" max="7449" width="50.7109375" style="261" customWidth="1"/>
    <col min="7450" max="7450" width="57.85546875" style="261" customWidth="1"/>
    <col min="7451" max="7451" width="60.85546875" style="261" customWidth="1"/>
    <col min="7452" max="7453" width="57.85546875" style="261" customWidth="1"/>
    <col min="7454" max="7454" width="58.5703125" style="261" customWidth="1"/>
    <col min="7455" max="7455" width="56.42578125" style="261" customWidth="1"/>
    <col min="7456" max="7456" width="50.7109375" style="261" customWidth="1"/>
    <col min="7457" max="7457" width="58.5703125" style="261" customWidth="1"/>
    <col min="7458" max="7458" width="55.7109375" style="261" customWidth="1"/>
    <col min="7459" max="7464" width="50.7109375" style="261" customWidth="1"/>
    <col min="7465" max="7487" width="10.7109375" style="261" customWidth="1"/>
    <col min="7488" max="7676" width="9.140625" style="261"/>
    <col min="7677" max="7677" width="21.42578125" style="261" customWidth="1"/>
    <col min="7678" max="7678" width="16.85546875" style="261" customWidth="1"/>
    <col min="7679" max="7679" width="104.7109375" style="261" customWidth="1"/>
    <col min="7680" max="7680" width="84.28515625" style="261" customWidth="1"/>
    <col min="7681" max="7681" width="93" style="261" customWidth="1"/>
    <col min="7682" max="7701" width="9.140625" style="261" customWidth="1"/>
    <col min="7702" max="7702" width="75.85546875" style="261" customWidth="1"/>
    <col min="7703" max="7703" width="10.7109375" style="261" customWidth="1"/>
    <col min="7704" max="7704" width="58.5703125" style="261" customWidth="1"/>
    <col min="7705" max="7705" width="50.7109375" style="261" customWidth="1"/>
    <col min="7706" max="7706" width="57.85546875" style="261" customWidth="1"/>
    <col min="7707" max="7707" width="60.85546875" style="261" customWidth="1"/>
    <col min="7708" max="7709" width="57.85546875" style="261" customWidth="1"/>
    <col min="7710" max="7710" width="58.5703125" style="261" customWidth="1"/>
    <col min="7711" max="7711" width="56.42578125" style="261" customWidth="1"/>
    <col min="7712" max="7712" width="50.7109375" style="261" customWidth="1"/>
    <col min="7713" max="7713" width="58.5703125" style="261" customWidth="1"/>
    <col min="7714" max="7714" width="55.7109375" style="261" customWidth="1"/>
    <col min="7715" max="7720" width="50.7109375" style="261" customWidth="1"/>
    <col min="7721" max="7743" width="10.7109375" style="261" customWidth="1"/>
    <col min="7744" max="7932" width="9.140625" style="261"/>
    <col min="7933" max="7933" width="21.42578125" style="261" customWidth="1"/>
    <col min="7934" max="7934" width="16.85546875" style="261" customWidth="1"/>
    <col min="7935" max="7935" width="104.7109375" style="261" customWidth="1"/>
    <col min="7936" max="7936" width="84.28515625" style="261" customWidth="1"/>
    <col min="7937" max="7937" width="93" style="261" customWidth="1"/>
    <col min="7938" max="7957" width="9.140625" style="261" customWidth="1"/>
    <col min="7958" max="7958" width="75.85546875" style="261" customWidth="1"/>
    <col min="7959" max="7959" width="10.7109375" style="261" customWidth="1"/>
    <col min="7960" max="7960" width="58.5703125" style="261" customWidth="1"/>
    <col min="7961" max="7961" width="50.7109375" style="261" customWidth="1"/>
    <col min="7962" max="7962" width="57.85546875" style="261" customWidth="1"/>
    <col min="7963" max="7963" width="60.85546875" style="261" customWidth="1"/>
    <col min="7964" max="7965" width="57.85546875" style="261" customWidth="1"/>
    <col min="7966" max="7966" width="58.5703125" style="261" customWidth="1"/>
    <col min="7967" max="7967" width="56.42578125" style="261" customWidth="1"/>
    <col min="7968" max="7968" width="50.7109375" style="261" customWidth="1"/>
    <col min="7969" max="7969" width="58.5703125" style="261" customWidth="1"/>
    <col min="7970" max="7970" width="55.7109375" style="261" customWidth="1"/>
    <col min="7971" max="7976" width="50.7109375" style="261" customWidth="1"/>
    <col min="7977" max="7999" width="10.7109375" style="261" customWidth="1"/>
    <col min="8000" max="8188" width="9.140625" style="261"/>
    <col min="8189" max="8189" width="21.42578125" style="261" customWidth="1"/>
    <col min="8190" max="8190" width="16.85546875" style="261" customWidth="1"/>
    <col min="8191" max="8191" width="104.7109375" style="261" customWidth="1"/>
    <col min="8192" max="8192" width="84.28515625" style="261" customWidth="1"/>
    <col min="8193" max="8193" width="93" style="261" customWidth="1"/>
    <col min="8194" max="8213" width="9.140625" style="261" customWidth="1"/>
    <col min="8214" max="8214" width="75.85546875" style="261" customWidth="1"/>
    <col min="8215" max="8215" width="10.7109375" style="261" customWidth="1"/>
    <col min="8216" max="8216" width="58.5703125" style="261" customWidth="1"/>
    <col min="8217" max="8217" width="50.7109375" style="261" customWidth="1"/>
    <col min="8218" max="8218" width="57.85546875" style="261" customWidth="1"/>
    <col min="8219" max="8219" width="60.85546875" style="261" customWidth="1"/>
    <col min="8220" max="8221" width="57.85546875" style="261" customWidth="1"/>
    <col min="8222" max="8222" width="58.5703125" style="261" customWidth="1"/>
    <col min="8223" max="8223" width="56.42578125" style="261" customWidth="1"/>
    <col min="8224" max="8224" width="50.7109375" style="261" customWidth="1"/>
    <col min="8225" max="8225" width="58.5703125" style="261" customWidth="1"/>
    <col min="8226" max="8226" width="55.7109375" style="261" customWidth="1"/>
    <col min="8227" max="8232" width="50.7109375" style="261" customWidth="1"/>
    <col min="8233" max="8255" width="10.7109375" style="261" customWidth="1"/>
    <col min="8256" max="8444" width="9.140625" style="261"/>
    <col min="8445" max="8445" width="21.42578125" style="261" customWidth="1"/>
    <col min="8446" max="8446" width="16.85546875" style="261" customWidth="1"/>
    <col min="8447" max="8447" width="104.7109375" style="261" customWidth="1"/>
    <col min="8448" max="8448" width="84.28515625" style="261" customWidth="1"/>
    <col min="8449" max="8449" width="93" style="261" customWidth="1"/>
    <col min="8450" max="8469" width="9.140625" style="261" customWidth="1"/>
    <col min="8470" max="8470" width="75.85546875" style="261" customWidth="1"/>
    <col min="8471" max="8471" width="10.7109375" style="261" customWidth="1"/>
    <col min="8472" max="8472" width="58.5703125" style="261" customWidth="1"/>
    <col min="8473" max="8473" width="50.7109375" style="261" customWidth="1"/>
    <col min="8474" max="8474" width="57.85546875" style="261" customWidth="1"/>
    <col min="8475" max="8475" width="60.85546875" style="261" customWidth="1"/>
    <col min="8476" max="8477" width="57.85546875" style="261" customWidth="1"/>
    <col min="8478" max="8478" width="58.5703125" style="261" customWidth="1"/>
    <col min="8479" max="8479" width="56.42578125" style="261" customWidth="1"/>
    <col min="8480" max="8480" width="50.7109375" style="261" customWidth="1"/>
    <col min="8481" max="8481" width="58.5703125" style="261" customWidth="1"/>
    <col min="8482" max="8482" width="55.7109375" style="261" customWidth="1"/>
    <col min="8483" max="8488" width="50.7109375" style="261" customWidth="1"/>
    <col min="8489" max="8511" width="10.7109375" style="261" customWidth="1"/>
    <col min="8512" max="8700" width="9.140625" style="261"/>
    <col min="8701" max="8701" width="21.42578125" style="261" customWidth="1"/>
    <col min="8702" max="8702" width="16.85546875" style="261" customWidth="1"/>
    <col min="8703" max="8703" width="104.7109375" style="261" customWidth="1"/>
    <col min="8704" max="8704" width="84.28515625" style="261" customWidth="1"/>
    <col min="8705" max="8705" width="93" style="261" customWidth="1"/>
    <col min="8706" max="8725" width="9.140625" style="261" customWidth="1"/>
    <col min="8726" max="8726" width="75.85546875" style="261" customWidth="1"/>
    <col min="8727" max="8727" width="10.7109375" style="261" customWidth="1"/>
    <col min="8728" max="8728" width="58.5703125" style="261" customWidth="1"/>
    <col min="8729" max="8729" width="50.7109375" style="261" customWidth="1"/>
    <col min="8730" max="8730" width="57.85546875" style="261" customWidth="1"/>
    <col min="8731" max="8731" width="60.85546875" style="261" customWidth="1"/>
    <col min="8732" max="8733" width="57.85546875" style="261" customWidth="1"/>
    <col min="8734" max="8734" width="58.5703125" style="261" customWidth="1"/>
    <col min="8735" max="8735" width="56.42578125" style="261" customWidth="1"/>
    <col min="8736" max="8736" width="50.7109375" style="261" customWidth="1"/>
    <col min="8737" max="8737" width="58.5703125" style="261" customWidth="1"/>
    <col min="8738" max="8738" width="55.7109375" style="261" customWidth="1"/>
    <col min="8739" max="8744" width="50.7109375" style="261" customWidth="1"/>
    <col min="8745" max="8767" width="10.7109375" style="261" customWidth="1"/>
    <col min="8768" max="8956" width="9.140625" style="261"/>
    <col min="8957" max="8957" width="21.42578125" style="261" customWidth="1"/>
    <col min="8958" max="8958" width="16.85546875" style="261" customWidth="1"/>
    <col min="8959" max="8959" width="104.7109375" style="261" customWidth="1"/>
    <col min="8960" max="8960" width="84.28515625" style="261" customWidth="1"/>
    <col min="8961" max="8961" width="93" style="261" customWidth="1"/>
    <col min="8962" max="8981" width="9.140625" style="261" customWidth="1"/>
    <col min="8982" max="8982" width="75.85546875" style="261" customWidth="1"/>
    <col min="8983" max="8983" width="10.7109375" style="261" customWidth="1"/>
    <col min="8984" max="8984" width="58.5703125" style="261" customWidth="1"/>
    <col min="8985" max="8985" width="50.7109375" style="261" customWidth="1"/>
    <col min="8986" max="8986" width="57.85546875" style="261" customWidth="1"/>
    <col min="8987" max="8987" width="60.85546875" style="261" customWidth="1"/>
    <col min="8988" max="8989" width="57.85546875" style="261" customWidth="1"/>
    <col min="8990" max="8990" width="58.5703125" style="261" customWidth="1"/>
    <col min="8991" max="8991" width="56.42578125" style="261" customWidth="1"/>
    <col min="8992" max="8992" width="50.7109375" style="261" customWidth="1"/>
    <col min="8993" max="8993" width="58.5703125" style="261" customWidth="1"/>
    <col min="8994" max="8994" width="55.7109375" style="261" customWidth="1"/>
    <col min="8995" max="9000" width="50.7109375" style="261" customWidth="1"/>
    <col min="9001" max="9023" width="10.7109375" style="261" customWidth="1"/>
    <col min="9024" max="9212" width="9.140625" style="261"/>
    <col min="9213" max="9213" width="21.42578125" style="261" customWidth="1"/>
    <col min="9214" max="9214" width="16.85546875" style="261" customWidth="1"/>
    <col min="9215" max="9215" width="104.7109375" style="261" customWidth="1"/>
    <col min="9216" max="9216" width="84.28515625" style="261" customWidth="1"/>
    <col min="9217" max="9217" width="93" style="261" customWidth="1"/>
    <col min="9218" max="9237" width="9.140625" style="261" customWidth="1"/>
    <col min="9238" max="9238" width="75.85546875" style="261" customWidth="1"/>
    <col min="9239" max="9239" width="10.7109375" style="261" customWidth="1"/>
    <col min="9240" max="9240" width="58.5703125" style="261" customWidth="1"/>
    <col min="9241" max="9241" width="50.7109375" style="261" customWidth="1"/>
    <col min="9242" max="9242" width="57.85546875" style="261" customWidth="1"/>
    <col min="9243" max="9243" width="60.85546875" style="261" customWidth="1"/>
    <col min="9244" max="9245" width="57.85546875" style="261" customWidth="1"/>
    <col min="9246" max="9246" width="58.5703125" style="261" customWidth="1"/>
    <col min="9247" max="9247" width="56.42578125" style="261" customWidth="1"/>
    <col min="9248" max="9248" width="50.7109375" style="261" customWidth="1"/>
    <col min="9249" max="9249" width="58.5703125" style="261" customWidth="1"/>
    <col min="9250" max="9250" width="55.7109375" style="261" customWidth="1"/>
    <col min="9251" max="9256" width="50.7109375" style="261" customWidth="1"/>
    <col min="9257" max="9279" width="10.7109375" style="261" customWidth="1"/>
    <col min="9280" max="9468" width="9.140625" style="261"/>
    <col min="9469" max="9469" width="21.42578125" style="261" customWidth="1"/>
    <col min="9470" max="9470" width="16.85546875" style="261" customWidth="1"/>
    <col min="9471" max="9471" width="104.7109375" style="261" customWidth="1"/>
    <col min="9472" max="9472" width="84.28515625" style="261" customWidth="1"/>
    <col min="9473" max="9473" width="93" style="261" customWidth="1"/>
    <col min="9474" max="9493" width="9.140625" style="261" customWidth="1"/>
    <col min="9494" max="9494" width="75.85546875" style="261" customWidth="1"/>
    <col min="9495" max="9495" width="10.7109375" style="261" customWidth="1"/>
    <col min="9496" max="9496" width="58.5703125" style="261" customWidth="1"/>
    <col min="9497" max="9497" width="50.7109375" style="261" customWidth="1"/>
    <col min="9498" max="9498" width="57.85546875" style="261" customWidth="1"/>
    <col min="9499" max="9499" width="60.85546875" style="261" customWidth="1"/>
    <col min="9500" max="9501" width="57.85546875" style="261" customWidth="1"/>
    <col min="9502" max="9502" width="58.5703125" style="261" customWidth="1"/>
    <col min="9503" max="9503" width="56.42578125" style="261" customWidth="1"/>
    <col min="9504" max="9504" width="50.7109375" style="261" customWidth="1"/>
    <col min="9505" max="9505" width="58.5703125" style="261" customWidth="1"/>
    <col min="9506" max="9506" width="55.7109375" style="261" customWidth="1"/>
    <col min="9507" max="9512" width="50.7109375" style="261" customWidth="1"/>
    <col min="9513" max="9535" width="10.7109375" style="261" customWidth="1"/>
    <col min="9536" max="9724" width="9.140625" style="261"/>
    <col min="9725" max="9725" width="21.42578125" style="261" customWidth="1"/>
    <col min="9726" max="9726" width="16.85546875" style="261" customWidth="1"/>
    <col min="9727" max="9727" width="104.7109375" style="261" customWidth="1"/>
    <col min="9728" max="9728" width="84.28515625" style="261" customWidth="1"/>
    <col min="9729" max="9729" width="93" style="261" customWidth="1"/>
    <col min="9730" max="9749" width="9.140625" style="261" customWidth="1"/>
    <col min="9750" max="9750" width="75.85546875" style="261" customWidth="1"/>
    <col min="9751" max="9751" width="10.7109375" style="261" customWidth="1"/>
    <col min="9752" max="9752" width="58.5703125" style="261" customWidth="1"/>
    <col min="9753" max="9753" width="50.7109375" style="261" customWidth="1"/>
    <col min="9754" max="9754" width="57.85546875" style="261" customWidth="1"/>
    <col min="9755" max="9755" width="60.85546875" style="261" customWidth="1"/>
    <col min="9756" max="9757" width="57.85546875" style="261" customWidth="1"/>
    <col min="9758" max="9758" width="58.5703125" style="261" customWidth="1"/>
    <col min="9759" max="9759" width="56.42578125" style="261" customWidth="1"/>
    <col min="9760" max="9760" width="50.7109375" style="261" customWidth="1"/>
    <col min="9761" max="9761" width="58.5703125" style="261" customWidth="1"/>
    <col min="9762" max="9762" width="55.7109375" style="261" customWidth="1"/>
    <col min="9763" max="9768" width="50.7109375" style="261" customWidth="1"/>
    <col min="9769" max="9791" width="10.7109375" style="261" customWidth="1"/>
    <col min="9792" max="9980" width="9.140625" style="261"/>
    <col min="9981" max="9981" width="21.42578125" style="261" customWidth="1"/>
    <col min="9982" max="9982" width="16.85546875" style="261" customWidth="1"/>
    <col min="9983" max="9983" width="104.7109375" style="261" customWidth="1"/>
    <col min="9984" max="9984" width="84.28515625" style="261" customWidth="1"/>
    <col min="9985" max="9985" width="93" style="261" customWidth="1"/>
    <col min="9986" max="10005" width="9.140625" style="261" customWidth="1"/>
    <col min="10006" max="10006" width="75.85546875" style="261" customWidth="1"/>
    <col min="10007" max="10007" width="10.7109375" style="261" customWidth="1"/>
    <col min="10008" max="10008" width="58.5703125" style="261" customWidth="1"/>
    <col min="10009" max="10009" width="50.7109375" style="261" customWidth="1"/>
    <col min="10010" max="10010" width="57.85546875" style="261" customWidth="1"/>
    <col min="10011" max="10011" width="60.85546875" style="261" customWidth="1"/>
    <col min="10012" max="10013" width="57.85546875" style="261" customWidth="1"/>
    <col min="10014" max="10014" width="58.5703125" style="261" customWidth="1"/>
    <col min="10015" max="10015" width="56.42578125" style="261" customWidth="1"/>
    <col min="10016" max="10016" width="50.7109375" style="261" customWidth="1"/>
    <col min="10017" max="10017" width="58.5703125" style="261" customWidth="1"/>
    <col min="10018" max="10018" width="55.7109375" style="261" customWidth="1"/>
    <col min="10019" max="10024" width="50.7109375" style="261" customWidth="1"/>
    <col min="10025" max="10047" width="10.7109375" style="261" customWidth="1"/>
    <col min="10048" max="10236" width="9.140625" style="261"/>
    <col min="10237" max="10237" width="21.42578125" style="261" customWidth="1"/>
    <col min="10238" max="10238" width="16.85546875" style="261" customWidth="1"/>
    <col min="10239" max="10239" width="104.7109375" style="261" customWidth="1"/>
    <col min="10240" max="10240" width="84.28515625" style="261" customWidth="1"/>
    <col min="10241" max="10241" width="93" style="261" customWidth="1"/>
    <col min="10242" max="10261" width="9.140625" style="261" customWidth="1"/>
    <col min="10262" max="10262" width="75.85546875" style="261" customWidth="1"/>
    <col min="10263" max="10263" width="10.7109375" style="261" customWidth="1"/>
    <col min="10264" max="10264" width="58.5703125" style="261" customWidth="1"/>
    <col min="10265" max="10265" width="50.7109375" style="261" customWidth="1"/>
    <col min="10266" max="10266" width="57.85546875" style="261" customWidth="1"/>
    <col min="10267" max="10267" width="60.85546875" style="261" customWidth="1"/>
    <col min="10268" max="10269" width="57.85546875" style="261" customWidth="1"/>
    <col min="10270" max="10270" width="58.5703125" style="261" customWidth="1"/>
    <col min="10271" max="10271" width="56.42578125" style="261" customWidth="1"/>
    <col min="10272" max="10272" width="50.7109375" style="261" customWidth="1"/>
    <col min="10273" max="10273" width="58.5703125" style="261" customWidth="1"/>
    <col min="10274" max="10274" width="55.7109375" style="261" customWidth="1"/>
    <col min="10275" max="10280" width="50.7109375" style="261" customWidth="1"/>
    <col min="10281" max="10303" width="10.7109375" style="261" customWidth="1"/>
    <col min="10304" max="10492" width="9.140625" style="261"/>
    <col min="10493" max="10493" width="21.42578125" style="261" customWidth="1"/>
    <col min="10494" max="10494" width="16.85546875" style="261" customWidth="1"/>
    <col min="10495" max="10495" width="104.7109375" style="261" customWidth="1"/>
    <col min="10496" max="10496" width="84.28515625" style="261" customWidth="1"/>
    <col min="10497" max="10497" width="93" style="261" customWidth="1"/>
    <col min="10498" max="10517" width="9.140625" style="261" customWidth="1"/>
    <col min="10518" max="10518" width="75.85546875" style="261" customWidth="1"/>
    <col min="10519" max="10519" width="10.7109375" style="261" customWidth="1"/>
    <col min="10520" max="10520" width="58.5703125" style="261" customWidth="1"/>
    <col min="10521" max="10521" width="50.7109375" style="261" customWidth="1"/>
    <col min="10522" max="10522" width="57.85546875" style="261" customWidth="1"/>
    <col min="10523" max="10523" width="60.85546875" style="261" customWidth="1"/>
    <col min="10524" max="10525" width="57.85546875" style="261" customWidth="1"/>
    <col min="10526" max="10526" width="58.5703125" style="261" customWidth="1"/>
    <col min="10527" max="10527" width="56.42578125" style="261" customWidth="1"/>
    <col min="10528" max="10528" width="50.7109375" style="261" customWidth="1"/>
    <col min="10529" max="10529" width="58.5703125" style="261" customWidth="1"/>
    <col min="10530" max="10530" width="55.7109375" style="261" customWidth="1"/>
    <col min="10531" max="10536" width="50.7109375" style="261" customWidth="1"/>
    <col min="10537" max="10559" width="10.7109375" style="261" customWidth="1"/>
    <col min="10560" max="10748" width="9.140625" style="261"/>
    <col min="10749" max="10749" width="21.42578125" style="261" customWidth="1"/>
    <col min="10750" max="10750" width="16.85546875" style="261" customWidth="1"/>
    <col min="10751" max="10751" width="104.7109375" style="261" customWidth="1"/>
    <col min="10752" max="10752" width="84.28515625" style="261" customWidth="1"/>
    <col min="10753" max="10753" width="93" style="261" customWidth="1"/>
    <col min="10754" max="10773" width="9.140625" style="261" customWidth="1"/>
    <col min="10774" max="10774" width="75.85546875" style="261" customWidth="1"/>
    <col min="10775" max="10775" width="10.7109375" style="261" customWidth="1"/>
    <col min="10776" max="10776" width="58.5703125" style="261" customWidth="1"/>
    <col min="10777" max="10777" width="50.7109375" style="261" customWidth="1"/>
    <col min="10778" max="10778" width="57.85546875" style="261" customWidth="1"/>
    <col min="10779" max="10779" width="60.85546875" style="261" customWidth="1"/>
    <col min="10780" max="10781" width="57.85546875" style="261" customWidth="1"/>
    <col min="10782" max="10782" width="58.5703125" style="261" customWidth="1"/>
    <col min="10783" max="10783" width="56.42578125" style="261" customWidth="1"/>
    <col min="10784" max="10784" width="50.7109375" style="261" customWidth="1"/>
    <col min="10785" max="10785" width="58.5703125" style="261" customWidth="1"/>
    <col min="10786" max="10786" width="55.7109375" style="261" customWidth="1"/>
    <col min="10787" max="10792" width="50.7109375" style="261" customWidth="1"/>
    <col min="10793" max="10815" width="10.7109375" style="261" customWidth="1"/>
    <col min="10816" max="11004" width="9.140625" style="261"/>
    <col min="11005" max="11005" width="21.42578125" style="261" customWidth="1"/>
    <col min="11006" max="11006" width="16.85546875" style="261" customWidth="1"/>
    <col min="11007" max="11007" width="104.7109375" style="261" customWidth="1"/>
    <col min="11008" max="11008" width="84.28515625" style="261" customWidth="1"/>
    <col min="11009" max="11009" width="93" style="261" customWidth="1"/>
    <col min="11010" max="11029" width="9.140625" style="261" customWidth="1"/>
    <col min="11030" max="11030" width="75.85546875" style="261" customWidth="1"/>
    <col min="11031" max="11031" width="10.7109375" style="261" customWidth="1"/>
    <col min="11032" max="11032" width="58.5703125" style="261" customWidth="1"/>
    <col min="11033" max="11033" width="50.7109375" style="261" customWidth="1"/>
    <col min="11034" max="11034" width="57.85546875" style="261" customWidth="1"/>
    <col min="11035" max="11035" width="60.85546875" style="261" customWidth="1"/>
    <col min="11036" max="11037" width="57.85546875" style="261" customWidth="1"/>
    <col min="11038" max="11038" width="58.5703125" style="261" customWidth="1"/>
    <col min="11039" max="11039" width="56.42578125" style="261" customWidth="1"/>
    <col min="11040" max="11040" width="50.7109375" style="261" customWidth="1"/>
    <col min="11041" max="11041" width="58.5703125" style="261" customWidth="1"/>
    <col min="11042" max="11042" width="55.7109375" style="261" customWidth="1"/>
    <col min="11043" max="11048" width="50.7109375" style="261" customWidth="1"/>
    <col min="11049" max="11071" width="10.7109375" style="261" customWidth="1"/>
    <col min="11072" max="11260" width="9.140625" style="261"/>
    <col min="11261" max="11261" width="21.42578125" style="261" customWidth="1"/>
    <col min="11262" max="11262" width="16.85546875" style="261" customWidth="1"/>
    <col min="11263" max="11263" width="104.7109375" style="261" customWidth="1"/>
    <col min="11264" max="11264" width="84.28515625" style="261" customWidth="1"/>
    <col min="11265" max="11265" width="93" style="261" customWidth="1"/>
    <col min="11266" max="11285" width="9.140625" style="261" customWidth="1"/>
    <col min="11286" max="11286" width="75.85546875" style="261" customWidth="1"/>
    <col min="11287" max="11287" width="10.7109375" style="261" customWidth="1"/>
    <col min="11288" max="11288" width="58.5703125" style="261" customWidth="1"/>
    <col min="11289" max="11289" width="50.7109375" style="261" customWidth="1"/>
    <col min="11290" max="11290" width="57.85546875" style="261" customWidth="1"/>
    <col min="11291" max="11291" width="60.85546875" style="261" customWidth="1"/>
    <col min="11292" max="11293" width="57.85546875" style="261" customWidth="1"/>
    <col min="11294" max="11294" width="58.5703125" style="261" customWidth="1"/>
    <col min="11295" max="11295" width="56.42578125" style="261" customWidth="1"/>
    <col min="11296" max="11296" width="50.7109375" style="261" customWidth="1"/>
    <col min="11297" max="11297" width="58.5703125" style="261" customWidth="1"/>
    <col min="11298" max="11298" width="55.7109375" style="261" customWidth="1"/>
    <col min="11299" max="11304" width="50.7109375" style="261" customWidth="1"/>
    <col min="11305" max="11327" width="10.7109375" style="261" customWidth="1"/>
    <col min="11328" max="11516" width="9.140625" style="261"/>
    <col min="11517" max="11517" width="21.42578125" style="261" customWidth="1"/>
    <col min="11518" max="11518" width="16.85546875" style="261" customWidth="1"/>
    <col min="11519" max="11519" width="104.7109375" style="261" customWidth="1"/>
    <col min="11520" max="11520" width="84.28515625" style="261" customWidth="1"/>
    <col min="11521" max="11521" width="93" style="261" customWidth="1"/>
    <col min="11522" max="11541" width="9.140625" style="261" customWidth="1"/>
    <col min="11542" max="11542" width="75.85546875" style="261" customWidth="1"/>
    <col min="11543" max="11543" width="10.7109375" style="261" customWidth="1"/>
    <col min="11544" max="11544" width="58.5703125" style="261" customWidth="1"/>
    <col min="11545" max="11545" width="50.7109375" style="261" customWidth="1"/>
    <col min="11546" max="11546" width="57.85546875" style="261" customWidth="1"/>
    <col min="11547" max="11547" width="60.85546875" style="261" customWidth="1"/>
    <col min="11548" max="11549" width="57.85546875" style="261" customWidth="1"/>
    <col min="11550" max="11550" width="58.5703125" style="261" customWidth="1"/>
    <col min="11551" max="11551" width="56.42578125" style="261" customWidth="1"/>
    <col min="11552" max="11552" width="50.7109375" style="261" customWidth="1"/>
    <col min="11553" max="11553" width="58.5703125" style="261" customWidth="1"/>
    <col min="11554" max="11554" width="55.7109375" style="261" customWidth="1"/>
    <col min="11555" max="11560" width="50.7109375" style="261" customWidth="1"/>
    <col min="11561" max="11583" width="10.7109375" style="261" customWidth="1"/>
    <col min="11584" max="11772" width="9.140625" style="261"/>
    <col min="11773" max="11773" width="21.42578125" style="261" customWidth="1"/>
    <col min="11774" max="11774" width="16.85546875" style="261" customWidth="1"/>
    <col min="11775" max="11775" width="104.7109375" style="261" customWidth="1"/>
    <col min="11776" max="11776" width="84.28515625" style="261" customWidth="1"/>
    <col min="11777" max="11777" width="93" style="261" customWidth="1"/>
    <col min="11778" max="11797" width="9.140625" style="261" customWidth="1"/>
    <col min="11798" max="11798" width="75.85546875" style="261" customWidth="1"/>
    <col min="11799" max="11799" width="10.7109375" style="261" customWidth="1"/>
    <col min="11800" max="11800" width="58.5703125" style="261" customWidth="1"/>
    <col min="11801" max="11801" width="50.7109375" style="261" customWidth="1"/>
    <col min="11802" max="11802" width="57.85546875" style="261" customWidth="1"/>
    <col min="11803" max="11803" width="60.85546875" style="261" customWidth="1"/>
    <col min="11804" max="11805" width="57.85546875" style="261" customWidth="1"/>
    <col min="11806" max="11806" width="58.5703125" style="261" customWidth="1"/>
    <col min="11807" max="11807" width="56.42578125" style="261" customWidth="1"/>
    <col min="11808" max="11808" width="50.7109375" style="261" customWidth="1"/>
    <col min="11809" max="11809" width="58.5703125" style="261" customWidth="1"/>
    <col min="11810" max="11810" width="55.7109375" style="261" customWidth="1"/>
    <col min="11811" max="11816" width="50.7109375" style="261" customWidth="1"/>
    <col min="11817" max="11839" width="10.7109375" style="261" customWidth="1"/>
    <col min="11840" max="12028" width="9.140625" style="261"/>
    <col min="12029" max="12029" width="21.42578125" style="261" customWidth="1"/>
    <col min="12030" max="12030" width="16.85546875" style="261" customWidth="1"/>
    <col min="12031" max="12031" width="104.7109375" style="261" customWidth="1"/>
    <col min="12032" max="12032" width="84.28515625" style="261" customWidth="1"/>
    <col min="12033" max="12033" width="93" style="261" customWidth="1"/>
    <col min="12034" max="12053" width="9.140625" style="261" customWidth="1"/>
    <col min="12054" max="12054" width="75.85546875" style="261" customWidth="1"/>
    <col min="12055" max="12055" width="10.7109375" style="261" customWidth="1"/>
    <col min="12056" max="12056" width="58.5703125" style="261" customWidth="1"/>
    <col min="12057" max="12057" width="50.7109375" style="261" customWidth="1"/>
    <col min="12058" max="12058" width="57.85546875" style="261" customWidth="1"/>
    <col min="12059" max="12059" width="60.85546875" style="261" customWidth="1"/>
    <col min="12060" max="12061" width="57.85546875" style="261" customWidth="1"/>
    <col min="12062" max="12062" width="58.5703125" style="261" customWidth="1"/>
    <col min="12063" max="12063" width="56.42578125" style="261" customWidth="1"/>
    <col min="12064" max="12064" width="50.7109375" style="261" customWidth="1"/>
    <col min="12065" max="12065" width="58.5703125" style="261" customWidth="1"/>
    <col min="12066" max="12066" width="55.7109375" style="261" customWidth="1"/>
    <col min="12067" max="12072" width="50.7109375" style="261" customWidth="1"/>
    <col min="12073" max="12095" width="10.7109375" style="261" customWidth="1"/>
    <col min="12096" max="12284" width="9.140625" style="261"/>
    <col min="12285" max="12285" width="21.42578125" style="261" customWidth="1"/>
    <col min="12286" max="12286" width="16.85546875" style="261" customWidth="1"/>
    <col min="12287" max="12287" width="104.7109375" style="261" customWidth="1"/>
    <col min="12288" max="12288" width="84.28515625" style="261" customWidth="1"/>
    <col min="12289" max="12289" width="93" style="261" customWidth="1"/>
    <col min="12290" max="12309" width="9.140625" style="261" customWidth="1"/>
    <col min="12310" max="12310" width="75.85546875" style="261" customWidth="1"/>
    <col min="12311" max="12311" width="10.7109375" style="261" customWidth="1"/>
    <col min="12312" max="12312" width="58.5703125" style="261" customWidth="1"/>
    <col min="12313" max="12313" width="50.7109375" style="261" customWidth="1"/>
    <col min="12314" max="12314" width="57.85546875" style="261" customWidth="1"/>
    <col min="12315" max="12315" width="60.85546875" style="261" customWidth="1"/>
    <col min="12316" max="12317" width="57.85546875" style="261" customWidth="1"/>
    <col min="12318" max="12318" width="58.5703125" style="261" customWidth="1"/>
    <col min="12319" max="12319" width="56.42578125" style="261" customWidth="1"/>
    <col min="12320" max="12320" width="50.7109375" style="261" customWidth="1"/>
    <col min="12321" max="12321" width="58.5703125" style="261" customWidth="1"/>
    <col min="12322" max="12322" width="55.7109375" style="261" customWidth="1"/>
    <col min="12323" max="12328" width="50.7109375" style="261" customWidth="1"/>
    <col min="12329" max="12351" width="10.7109375" style="261" customWidth="1"/>
    <col min="12352" max="12540" width="9.140625" style="261"/>
    <col min="12541" max="12541" width="21.42578125" style="261" customWidth="1"/>
    <col min="12542" max="12542" width="16.85546875" style="261" customWidth="1"/>
    <col min="12543" max="12543" width="104.7109375" style="261" customWidth="1"/>
    <col min="12544" max="12544" width="84.28515625" style="261" customWidth="1"/>
    <col min="12545" max="12545" width="93" style="261" customWidth="1"/>
    <col min="12546" max="12565" width="9.140625" style="261" customWidth="1"/>
    <col min="12566" max="12566" width="75.85546875" style="261" customWidth="1"/>
    <col min="12567" max="12567" width="10.7109375" style="261" customWidth="1"/>
    <col min="12568" max="12568" width="58.5703125" style="261" customWidth="1"/>
    <col min="12569" max="12569" width="50.7109375" style="261" customWidth="1"/>
    <col min="12570" max="12570" width="57.85546875" style="261" customWidth="1"/>
    <col min="12571" max="12571" width="60.85546875" style="261" customWidth="1"/>
    <col min="12572" max="12573" width="57.85546875" style="261" customWidth="1"/>
    <col min="12574" max="12574" width="58.5703125" style="261" customWidth="1"/>
    <col min="12575" max="12575" width="56.42578125" style="261" customWidth="1"/>
    <col min="12576" max="12576" width="50.7109375" style="261" customWidth="1"/>
    <col min="12577" max="12577" width="58.5703125" style="261" customWidth="1"/>
    <col min="12578" max="12578" width="55.7109375" style="261" customWidth="1"/>
    <col min="12579" max="12584" width="50.7109375" style="261" customWidth="1"/>
    <col min="12585" max="12607" width="10.7109375" style="261" customWidth="1"/>
    <col min="12608" max="12796" width="9.140625" style="261"/>
    <col min="12797" max="12797" width="21.42578125" style="261" customWidth="1"/>
    <col min="12798" max="12798" width="16.85546875" style="261" customWidth="1"/>
    <col min="12799" max="12799" width="104.7109375" style="261" customWidth="1"/>
    <col min="12800" max="12800" width="84.28515625" style="261" customWidth="1"/>
    <col min="12801" max="12801" width="93" style="261" customWidth="1"/>
    <col min="12802" max="12821" width="9.140625" style="261" customWidth="1"/>
    <col min="12822" max="12822" width="75.85546875" style="261" customWidth="1"/>
    <col min="12823" max="12823" width="10.7109375" style="261" customWidth="1"/>
    <col min="12824" max="12824" width="58.5703125" style="261" customWidth="1"/>
    <col min="12825" max="12825" width="50.7109375" style="261" customWidth="1"/>
    <col min="12826" max="12826" width="57.85546875" style="261" customWidth="1"/>
    <col min="12827" max="12827" width="60.85546875" style="261" customWidth="1"/>
    <col min="12828" max="12829" width="57.85546875" style="261" customWidth="1"/>
    <col min="12830" max="12830" width="58.5703125" style="261" customWidth="1"/>
    <col min="12831" max="12831" width="56.42578125" style="261" customWidth="1"/>
    <col min="12832" max="12832" width="50.7109375" style="261" customWidth="1"/>
    <col min="12833" max="12833" width="58.5703125" style="261" customWidth="1"/>
    <col min="12834" max="12834" width="55.7109375" style="261" customWidth="1"/>
    <col min="12835" max="12840" width="50.7109375" style="261" customWidth="1"/>
    <col min="12841" max="12863" width="10.7109375" style="261" customWidth="1"/>
    <col min="12864" max="13052" width="9.140625" style="261"/>
    <col min="13053" max="13053" width="21.42578125" style="261" customWidth="1"/>
    <col min="13054" max="13054" width="16.85546875" style="261" customWidth="1"/>
    <col min="13055" max="13055" width="104.7109375" style="261" customWidth="1"/>
    <col min="13056" max="13056" width="84.28515625" style="261" customWidth="1"/>
    <col min="13057" max="13057" width="93" style="261" customWidth="1"/>
    <col min="13058" max="13077" width="9.140625" style="261" customWidth="1"/>
    <col min="13078" max="13078" width="75.85546875" style="261" customWidth="1"/>
    <col min="13079" max="13079" width="10.7109375" style="261" customWidth="1"/>
    <col min="13080" max="13080" width="58.5703125" style="261" customWidth="1"/>
    <col min="13081" max="13081" width="50.7109375" style="261" customWidth="1"/>
    <col min="13082" max="13082" width="57.85546875" style="261" customWidth="1"/>
    <col min="13083" max="13083" width="60.85546875" style="261" customWidth="1"/>
    <col min="13084" max="13085" width="57.85546875" style="261" customWidth="1"/>
    <col min="13086" max="13086" width="58.5703125" style="261" customWidth="1"/>
    <col min="13087" max="13087" width="56.42578125" style="261" customWidth="1"/>
    <col min="13088" max="13088" width="50.7109375" style="261" customWidth="1"/>
    <col min="13089" max="13089" width="58.5703125" style="261" customWidth="1"/>
    <col min="13090" max="13090" width="55.7109375" style="261" customWidth="1"/>
    <col min="13091" max="13096" width="50.7109375" style="261" customWidth="1"/>
    <col min="13097" max="13119" width="10.7109375" style="261" customWidth="1"/>
    <col min="13120" max="13308" width="9.140625" style="261"/>
    <col min="13309" max="13309" width="21.42578125" style="261" customWidth="1"/>
    <col min="13310" max="13310" width="16.85546875" style="261" customWidth="1"/>
    <col min="13311" max="13311" width="104.7109375" style="261" customWidth="1"/>
    <col min="13312" max="13312" width="84.28515625" style="261" customWidth="1"/>
    <col min="13313" max="13313" width="93" style="261" customWidth="1"/>
    <col min="13314" max="13333" width="9.140625" style="261" customWidth="1"/>
    <col min="13334" max="13334" width="75.85546875" style="261" customWidth="1"/>
    <col min="13335" max="13335" width="10.7109375" style="261" customWidth="1"/>
    <col min="13336" max="13336" width="58.5703125" style="261" customWidth="1"/>
    <col min="13337" max="13337" width="50.7109375" style="261" customWidth="1"/>
    <col min="13338" max="13338" width="57.85546875" style="261" customWidth="1"/>
    <col min="13339" max="13339" width="60.85546875" style="261" customWidth="1"/>
    <col min="13340" max="13341" width="57.85546875" style="261" customWidth="1"/>
    <col min="13342" max="13342" width="58.5703125" style="261" customWidth="1"/>
    <col min="13343" max="13343" width="56.42578125" style="261" customWidth="1"/>
    <col min="13344" max="13344" width="50.7109375" style="261" customWidth="1"/>
    <col min="13345" max="13345" width="58.5703125" style="261" customWidth="1"/>
    <col min="13346" max="13346" width="55.7109375" style="261" customWidth="1"/>
    <col min="13347" max="13352" width="50.7109375" style="261" customWidth="1"/>
    <col min="13353" max="13375" width="10.7109375" style="261" customWidth="1"/>
    <col min="13376" max="13564" width="9.140625" style="261"/>
    <col min="13565" max="13565" width="21.42578125" style="261" customWidth="1"/>
    <col min="13566" max="13566" width="16.85546875" style="261" customWidth="1"/>
    <col min="13567" max="13567" width="104.7109375" style="261" customWidth="1"/>
    <col min="13568" max="13568" width="84.28515625" style="261" customWidth="1"/>
    <col min="13569" max="13569" width="93" style="261" customWidth="1"/>
    <col min="13570" max="13589" width="9.140625" style="261" customWidth="1"/>
    <col min="13590" max="13590" width="75.85546875" style="261" customWidth="1"/>
    <col min="13591" max="13591" width="10.7109375" style="261" customWidth="1"/>
    <col min="13592" max="13592" width="58.5703125" style="261" customWidth="1"/>
    <col min="13593" max="13593" width="50.7109375" style="261" customWidth="1"/>
    <col min="13594" max="13594" width="57.85546875" style="261" customWidth="1"/>
    <col min="13595" max="13595" width="60.85546875" style="261" customWidth="1"/>
    <col min="13596" max="13597" width="57.85546875" style="261" customWidth="1"/>
    <col min="13598" max="13598" width="58.5703125" style="261" customWidth="1"/>
    <col min="13599" max="13599" width="56.42578125" style="261" customWidth="1"/>
    <col min="13600" max="13600" width="50.7109375" style="261" customWidth="1"/>
    <col min="13601" max="13601" width="58.5703125" style="261" customWidth="1"/>
    <col min="13602" max="13602" width="55.7109375" style="261" customWidth="1"/>
    <col min="13603" max="13608" width="50.7109375" style="261" customWidth="1"/>
    <col min="13609" max="13631" width="10.7109375" style="261" customWidth="1"/>
    <col min="13632" max="13820" width="9.140625" style="261"/>
    <col min="13821" max="13821" width="21.42578125" style="261" customWidth="1"/>
    <col min="13822" max="13822" width="16.85546875" style="261" customWidth="1"/>
    <col min="13823" max="13823" width="104.7109375" style="261" customWidth="1"/>
    <col min="13824" max="13824" width="84.28515625" style="261" customWidth="1"/>
    <col min="13825" max="13825" width="93" style="261" customWidth="1"/>
    <col min="13826" max="13845" width="9.140625" style="261" customWidth="1"/>
    <col min="13846" max="13846" width="75.85546875" style="261" customWidth="1"/>
    <col min="13847" max="13847" width="10.7109375" style="261" customWidth="1"/>
    <col min="13848" max="13848" width="58.5703125" style="261" customWidth="1"/>
    <col min="13849" max="13849" width="50.7109375" style="261" customWidth="1"/>
    <col min="13850" max="13850" width="57.85546875" style="261" customWidth="1"/>
    <col min="13851" max="13851" width="60.85546875" style="261" customWidth="1"/>
    <col min="13852" max="13853" width="57.85546875" style="261" customWidth="1"/>
    <col min="13854" max="13854" width="58.5703125" style="261" customWidth="1"/>
    <col min="13855" max="13855" width="56.42578125" style="261" customWidth="1"/>
    <col min="13856" max="13856" width="50.7109375" style="261" customWidth="1"/>
    <col min="13857" max="13857" width="58.5703125" style="261" customWidth="1"/>
    <col min="13858" max="13858" width="55.7109375" style="261" customWidth="1"/>
    <col min="13859" max="13864" width="50.7109375" style="261" customWidth="1"/>
    <col min="13865" max="13887" width="10.7109375" style="261" customWidth="1"/>
    <col min="13888" max="14076" width="9.140625" style="261"/>
    <col min="14077" max="14077" width="21.42578125" style="261" customWidth="1"/>
    <col min="14078" max="14078" width="16.85546875" style="261" customWidth="1"/>
    <col min="14079" max="14079" width="104.7109375" style="261" customWidth="1"/>
    <col min="14080" max="14080" width="84.28515625" style="261" customWidth="1"/>
    <col min="14081" max="14081" width="93" style="261" customWidth="1"/>
    <col min="14082" max="14101" width="9.140625" style="261" customWidth="1"/>
    <col min="14102" max="14102" width="75.85546875" style="261" customWidth="1"/>
    <col min="14103" max="14103" width="10.7109375" style="261" customWidth="1"/>
    <col min="14104" max="14104" width="58.5703125" style="261" customWidth="1"/>
    <col min="14105" max="14105" width="50.7109375" style="261" customWidth="1"/>
    <col min="14106" max="14106" width="57.85546875" style="261" customWidth="1"/>
    <col min="14107" max="14107" width="60.85546875" style="261" customWidth="1"/>
    <col min="14108" max="14109" width="57.85546875" style="261" customWidth="1"/>
    <col min="14110" max="14110" width="58.5703125" style="261" customWidth="1"/>
    <col min="14111" max="14111" width="56.42578125" style="261" customWidth="1"/>
    <col min="14112" max="14112" width="50.7109375" style="261" customWidth="1"/>
    <col min="14113" max="14113" width="58.5703125" style="261" customWidth="1"/>
    <col min="14114" max="14114" width="55.7109375" style="261" customWidth="1"/>
    <col min="14115" max="14120" width="50.7109375" style="261" customWidth="1"/>
    <col min="14121" max="14143" width="10.7109375" style="261" customWidth="1"/>
    <col min="14144" max="14332" width="9.140625" style="261"/>
    <col min="14333" max="14333" width="21.42578125" style="261" customWidth="1"/>
    <col min="14334" max="14334" width="16.85546875" style="261" customWidth="1"/>
    <col min="14335" max="14335" width="104.7109375" style="261" customWidth="1"/>
    <col min="14336" max="14336" width="84.28515625" style="261" customWidth="1"/>
    <col min="14337" max="14337" width="93" style="261" customWidth="1"/>
    <col min="14338" max="14357" width="9.140625" style="261" customWidth="1"/>
    <col min="14358" max="14358" width="75.85546875" style="261" customWidth="1"/>
    <col min="14359" max="14359" width="10.7109375" style="261" customWidth="1"/>
    <col min="14360" max="14360" width="58.5703125" style="261" customWidth="1"/>
    <col min="14361" max="14361" width="50.7109375" style="261" customWidth="1"/>
    <col min="14362" max="14362" width="57.85546875" style="261" customWidth="1"/>
    <col min="14363" max="14363" width="60.85546875" style="261" customWidth="1"/>
    <col min="14364" max="14365" width="57.85546875" style="261" customWidth="1"/>
    <col min="14366" max="14366" width="58.5703125" style="261" customWidth="1"/>
    <col min="14367" max="14367" width="56.42578125" style="261" customWidth="1"/>
    <col min="14368" max="14368" width="50.7109375" style="261" customWidth="1"/>
    <col min="14369" max="14369" width="58.5703125" style="261" customWidth="1"/>
    <col min="14370" max="14370" width="55.7109375" style="261" customWidth="1"/>
    <col min="14371" max="14376" width="50.7109375" style="261" customWidth="1"/>
    <col min="14377" max="14399" width="10.7109375" style="261" customWidth="1"/>
    <col min="14400" max="14588" width="9.140625" style="261"/>
    <col min="14589" max="14589" width="21.42578125" style="261" customWidth="1"/>
    <col min="14590" max="14590" width="16.85546875" style="261" customWidth="1"/>
    <col min="14591" max="14591" width="104.7109375" style="261" customWidth="1"/>
    <col min="14592" max="14592" width="84.28515625" style="261" customWidth="1"/>
    <col min="14593" max="14593" width="93" style="261" customWidth="1"/>
    <col min="14594" max="14613" width="9.140625" style="261" customWidth="1"/>
    <col min="14614" max="14614" width="75.85546875" style="261" customWidth="1"/>
    <col min="14615" max="14615" width="10.7109375" style="261" customWidth="1"/>
    <col min="14616" max="14616" width="58.5703125" style="261" customWidth="1"/>
    <col min="14617" max="14617" width="50.7109375" style="261" customWidth="1"/>
    <col min="14618" max="14618" width="57.85546875" style="261" customWidth="1"/>
    <col min="14619" max="14619" width="60.85546875" style="261" customWidth="1"/>
    <col min="14620" max="14621" width="57.85546875" style="261" customWidth="1"/>
    <col min="14622" max="14622" width="58.5703125" style="261" customWidth="1"/>
    <col min="14623" max="14623" width="56.42578125" style="261" customWidth="1"/>
    <col min="14624" max="14624" width="50.7109375" style="261" customWidth="1"/>
    <col min="14625" max="14625" width="58.5703125" style="261" customWidth="1"/>
    <col min="14626" max="14626" width="55.7109375" style="261" customWidth="1"/>
    <col min="14627" max="14632" width="50.7109375" style="261" customWidth="1"/>
    <col min="14633" max="14655" width="10.7109375" style="261" customWidth="1"/>
    <col min="14656" max="14844" width="9.140625" style="261"/>
    <col min="14845" max="14845" width="21.42578125" style="261" customWidth="1"/>
    <col min="14846" max="14846" width="16.85546875" style="261" customWidth="1"/>
    <col min="14847" max="14847" width="104.7109375" style="261" customWidth="1"/>
    <col min="14848" max="14848" width="84.28515625" style="261" customWidth="1"/>
    <col min="14849" max="14849" width="93" style="261" customWidth="1"/>
    <col min="14850" max="14869" width="9.140625" style="261" customWidth="1"/>
    <col min="14870" max="14870" width="75.85546875" style="261" customWidth="1"/>
    <col min="14871" max="14871" width="10.7109375" style="261" customWidth="1"/>
    <col min="14872" max="14872" width="58.5703125" style="261" customWidth="1"/>
    <col min="14873" max="14873" width="50.7109375" style="261" customWidth="1"/>
    <col min="14874" max="14874" width="57.85546875" style="261" customWidth="1"/>
    <col min="14875" max="14875" width="60.85546875" style="261" customWidth="1"/>
    <col min="14876" max="14877" width="57.85546875" style="261" customWidth="1"/>
    <col min="14878" max="14878" width="58.5703125" style="261" customWidth="1"/>
    <col min="14879" max="14879" width="56.42578125" style="261" customWidth="1"/>
    <col min="14880" max="14880" width="50.7109375" style="261" customWidth="1"/>
    <col min="14881" max="14881" width="58.5703125" style="261" customWidth="1"/>
    <col min="14882" max="14882" width="55.7109375" style="261" customWidth="1"/>
    <col min="14883" max="14888" width="50.7109375" style="261" customWidth="1"/>
    <col min="14889" max="14911" width="10.7109375" style="261" customWidth="1"/>
    <col min="14912" max="15100" width="9.140625" style="261"/>
    <col min="15101" max="15101" width="21.42578125" style="261" customWidth="1"/>
    <col min="15102" max="15102" width="16.85546875" style="261" customWidth="1"/>
    <col min="15103" max="15103" width="104.7109375" style="261" customWidth="1"/>
    <col min="15104" max="15104" width="84.28515625" style="261" customWidth="1"/>
    <col min="15105" max="15105" width="93" style="261" customWidth="1"/>
    <col min="15106" max="15125" width="9.140625" style="261" customWidth="1"/>
    <col min="15126" max="15126" width="75.85546875" style="261" customWidth="1"/>
    <col min="15127" max="15127" width="10.7109375" style="261" customWidth="1"/>
    <col min="15128" max="15128" width="58.5703125" style="261" customWidth="1"/>
    <col min="15129" max="15129" width="50.7109375" style="261" customWidth="1"/>
    <col min="15130" max="15130" width="57.85546875" style="261" customWidth="1"/>
    <col min="15131" max="15131" width="60.85546875" style="261" customWidth="1"/>
    <col min="15132" max="15133" width="57.85546875" style="261" customWidth="1"/>
    <col min="15134" max="15134" width="58.5703125" style="261" customWidth="1"/>
    <col min="15135" max="15135" width="56.42578125" style="261" customWidth="1"/>
    <col min="15136" max="15136" width="50.7109375" style="261" customWidth="1"/>
    <col min="15137" max="15137" width="58.5703125" style="261" customWidth="1"/>
    <col min="15138" max="15138" width="55.7109375" style="261" customWidth="1"/>
    <col min="15139" max="15144" width="50.7109375" style="261" customWidth="1"/>
    <col min="15145" max="15167" width="10.7109375" style="261" customWidth="1"/>
    <col min="15168" max="15356" width="9.140625" style="261"/>
    <col min="15357" max="15357" width="21.42578125" style="261" customWidth="1"/>
    <col min="15358" max="15358" width="16.85546875" style="261" customWidth="1"/>
    <col min="15359" max="15359" width="104.7109375" style="261" customWidth="1"/>
    <col min="15360" max="15360" width="84.28515625" style="261" customWidth="1"/>
    <col min="15361" max="15361" width="93" style="261" customWidth="1"/>
    <col min="15362" max="15381" width="9.140625" style="261" customWidth="1"/>
    <col min="15382" max="15382" width="75.85546875" style="261" customWidth="1"/>
    <col min="15383" max="15383" width="10.7109375" style="261" customWidth="1"/>
    <col min="15384" max="15384" width="58.5703125" style="261" customWidth="1"/>
    <col min="15385" max="15385" width="50.7109375" style="261" customWidth="1"/>
    <col min="15386" max="15386" width="57.85546875" style="261" customWidth="1"/>
    <col min="15387" max="15387" width="60.85546875" style="261" customWidth="1"/>
    <col min="15388" max="15389" width="57.85546875" style="261" customWidth="1"/>
    <col min="15390" max="15390" width="58.5703125" style="261" customWidth="1"/>
    <col min="15391" max="15391" width="56.42578125" style="261" customWidth="1"/>
    <col min="15392" max="15392" width="50.7109375" style="261" customWidth="1"/>
    <col min="15393" max="15393" width="58.5703125" style="261" customWidth="1"/>
    <col min="15394" max="15394" width="55.7109375" style="261" customWidth="1"/>
    <col min="15395" max="15400" width="50.7109375" style="261" customWidth="1"/>
    <col min="15401" max="15423" width="10.7109375" style="261" customWidth="1"/>
    <col min="15424" max="15612" width="9.140625" style="261"/>
    <col min="15613" max="15613" width="21.42578125" style="261" customWidth="1"/>
    <col min="15614" max="15614" width="16.85546875" style="261" customWidth="1"/>
    <col min="15615" max="15615" width="104.7109375" style="261" customWidth="1"/>
    <col min="15616" max="15616" width="84.28515625" style="261" customWidth="1"/>
    <col min="15617" max="15617" width="93" style="261" customWidth="1"/>
    <col min="15618" max="15637" width="9.140625" style="261" customWidth="1"/>
    <col min="15638" max="15638" width="75.85546875" style="261" customWidth="1"/>
    <col min="15639" max="15639" width="10.7109375" style="261" customWidth="1"/>
    <col min="15640" max="15640" width="58.5703125" style="261" customWidth="1"/>
    <col min="15641" max="15641" width="50.7109375" style="261" customWidth="1"/>
    <col min="15642" max="15642" width="57.85546875" style="261" customWidth="1"/>
    <col min="15643" max="15643" width="60.85546875" style="261" customWidth="1"/>
    <col min="15644" max="15645" width="57.85546875" style="261" customWidth="1"/>
    <col min="15646" max="15646" width="58.5703125" style="261" customWidth="1"/>
    <col min="15647" max="15647" width="56.42578125" style="261" customWidth="1"/>
    <col min="15648" max="15648" width="50.7109375" style="261" customWidth="1"/>
    <col min="15649" max="15649" width="58.5703125" style="261" customWidth="1"/>
    <col min="15650" max="15650" width="55.7109375" style="261" customWidth="1"/>
    <col min="15651" max="15656" width="50.7109375" style="261" customWidth="1"/>
    <col min="15657" max="15679" width="10.7109375" style="261" customWidth="1"/>
    <col min="15680" max="15868" width="9.140625" style="261"/>
    <col min="15869" max="15869" width="21.42578125" style="261" customWidth="1"/>
    <col min="15870" max="15870" width="16.85546875" style="261" customWidth="1"/>
    <col min="15871" max="15871" width="104.7109375" style="261" customWidth="1"/>
    <col min="15872" max="15872" width="84.28515625" style="261" customWidth="1"/>
    <col min="15873" max="15873" width="93" style="261" customWidth="1"/>
    <col min="15874" max="15893" width="9.140625" style="261" customWidth="1"/>
    <col min="15894" max="15894" width="75.85546875" style="261" customWidth="1"/>
    <col min="15895" max="15895" width="10.7109375" style="261" customWidth="1"/>
    <col min="15896" max="15896" width="58.5703125" style="261" customWidth="1"/>
    <col min="15897" max="15897" width="50.7109375" style="261" customWidth="1"/>
    <col min="15898" max="15898" width="57.85546875" style="261" customWidth="1"/>
    <col min="15899" max="15899" width="60.85546875" style="261" customWidth="1"/>
    <col min="15900" max="15901" width="57.85546875" style="261" customWidth="1"/>
    <col min="15902" max="15902" width="58.5703125" style="261" customWidth="1"/>
    <col min="15903" max="15903" width="56.42578125" style="261" customWidth="1"/>
    <col min="15904" max="15904" width="50.7109375" style="261" customWidth="1"/>
    <col min="15905" max="15905" width="58.5703125" style="261" customWidth="1"/>
    <col min="15906" max="15906" width="55.7109375" style="261" customWidth="1"/>
    <col min="15907" max="15912" width="50.7109375" style="261" customWidth="1"/>
    <col min="15913" max="15935" width="10.7109375" style="261" customWidth="1"/>
    <col min="15936" max="16124" width="9.140625" style="261"/>
    <col min="16125" max="16125" width="21.42578125" style="261" customWidth="1"/>
    <col min="16126" max="16126" width="16.85546875" style="261" customWidth="1"/>
    <col min="16127" max="16127" width="104.7109375" style="261" customWidth="1"/>
    <col min="16128" max="16128" width="84.28515625" style="261" customWidth="1"/>
    <col min="16129" max="16129" width="93" style="261" customWidth="1"/>
    <col min="16130" max="16149" width="0" style="261" hidden="1" customWidth="1"/>
    <col min="16150" max="16150" width="75.85546875" style="261" customWidth="1"/>
    <col min="16151" max="16151" width="10.7109375" style="261" customWidth="1"/>
    <col min="16152" max="16152" width="58.5703125" style="261" customWidth="1"/>
    <col min="16153" max="16153" width="50.7109375" style="261" customWidth="1"/>
    <col min="16154" max="16154" width="57.85546875" style="261" customWidth="1"/>
    <col min="16155" max="16155" width="60.85546875" style="261" customWidth="1"/>
    <col min="16156" max="16157" width="57.85546875" style="261" customWidth="1"/>
    <col min="16158" max="16158" width="58.5703125" style="261" customWidth="1"/>
    <col min="16159" max="16159" width="56.42578125" style="261" customWidth="1"/>
    <col min="16160" max="16160" width="50.7109375" style="261" customWidth="1"/>
    <col min="16161" max="16161" width="58.5703125" style="261" customWidth="1"/>
    <col min="16162" max="16162" width="55.7109375" style="261" customWidth="1"/>
    <col min="16163" max="16168" width="50.7109375" style="261" customWidth="1"/>
    <col min="16169" max="16191" width="10.7109375" style="261" customWidth="1"/>
    <col min="16192" max="16384" width="9.140625" style="261"/>
  </cols>
  <sheetData>
    <row r="1" spans="1:32" ht="144" customHeight="1">
      <c r="A1" s="1654" t="s">
        <v>270</v>
      </c>
      <c r="B1" s="1654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1654"/>
      <c r="T1" s="1654"/>
      <c r="U1" s="1654"/>
      <c r="V1" s="1654"/>
      <c r="W1" s="1654"/>
      <c r="X1" s="1654"/>
      <c r="Y1" s="1654"/>
      <c r="Z1" s="1654"/>
      <c r="AA1" s="1654"/>
      <c r="AB1" s="1654"/>
      <c r="AC1" s="1654"/>
      <c r="AD1" s="1654"/>
      <c r="AE1" s="1654"/>
    </row>
    <row r="2" spans="1:32" s="264" customFormat="1" ht="95.25" customHeight="1">
      <c r="A2" s="1643" t="s">
        <v>2</v>
      </c>
      <c r="B2" s="1655" t="s">
        <v>2</v>
      </c>
      <c r="C2" s="1643" t="s">
        <v>271</v>
      </c>
      <c r="D2" s="1643" t="s">
        <v>272</v>
      </c>
      <c r="E2" s="1643" t="s">
        <v>273</v>
      </c>
      <c r="F2" s="1656" t="s">
        <v>274</v>
      </c>
      <c r="G2" s="1656" t="s">
        <v>275</v>
      </c>
      <c r="H2" s="262"/>
      <c r="I2" s="1643" t="s">
        <v>276</v>
      </c>
      <c r="J2" s="1643"/>
      <c r="K2" s="1643"/>
      <c r="L2" s="1643"/>
      <c r="M2" s="1643"/>
      <c r="N2" s="1643"/>
      <c r="O2" s="1643"/>
      <c r="P2" s="1643"/>
      <c r="Q2" s="1643"/>
      <c r="R2" s="1656" t="s">
        <v>277</v>
      </c>
      <c r="S2" s="1643" t="s">
        <v>278</v>
      </c>
      <c r="T2" s="1643"/>
      <c r="U2" s="1643"/>
      <c r="V2" s="1643"/>
      <c r="W2" s="1643"/>
      <c r="X2" s="1643"/>
      <c r="Y2" s="1643"/>
      <c r="Z2" s="1643"/>
      <c r="AA2" s="1643"/>
      <c r="AB2" s="1643"/>
      <c r="AC2" s="1643"/>
      <c r="AD2" s="1643"/>
      <c r="AE2" s="1657" t="s">
        <v>233</v>
      </c>
      <c r="AF2" s="263"/>
    </row>
    <row r="3" spans="1:32" s="264" customFormat="1" ht="213" customHeight="1">
      <c r="A3" s="1643"/>
      <c r="B3" s="1655"/>
      <c r="C3" s="1643"/>
      <c r="D3" s="1643"/>
      <c r="E3" s="1643"/>
      <c r="F3" s="1656"/>
      <c r="G3" s="1656"/>
      <c r="H3" s="1656" t="s">
        <v>279</v>
      </c>
      <c r="I3" s="1643" t="s">
        <v>280</v>
      </c>
      <c r="J3" s="1643"/>
      <c r="K3" s="1643" t="s">
        <v>281</v>
      </c>
      <c r="L3" s="1643"/>
      <c r="M3" s="1643" t="s">
        <v>282</v>
      </c>
      <c r="N3" s="1643"/>
      <c r="O3" s="1643" t="s">
        <v>283</v>
      </c>
      <c r="P3" s="1643"/>
      <c r="Q3" s="265" t="s">
        <v>284</v>
      </c>
      <c r="R3" s="1656"/>
      <c r="S3" s="1643" t="s">
        <v>280</v>
      </c>
      <c r="T3" s="1643"/>
      <c r="U3" s="1643" t="s">
        <v>285</v>
      </c>
      <c r="V3" s="1643"/>
      <c r="W3" s="1643" t="s">
        <v>286</v>
      </c>
      <c r="X3" s="1643"/>
      <c r="Y3" s="1643" t="s">
        <v>283</v>
      </c>
      <c r="Z3" s="1643"/>
      <c r="AA3" s="1643" t="s">
        <v>287</v>
      </c>
      <c r="AB3" s="1643" t="s">
        <v>288</v>
      </c>
      <c r="AC3" s="1643" t="s">
        <v>289</v>
      </c>
      <c r="AD3" s="1643" t="s">
        <v>290</v>
      </c>
      <c r="AE3" s="1657"/>
      <c r="AF3" s="263"/>
    </row>
    <row r="4" spans="1:32" s="267" customFormat="1" ht="379.5" customHeight="1">
      <c r="A4" s="1643"/>
      <c r="B4" s="1655"/>
      <c r="C4" s="1643"/>
      <c r="D4" s="1643"/>
      <c r="E4" s="1643"/>
      <c r="F4" s="1656"/>
      <c r="G4" s="1656"/>
      <c r="H4" s="1656"/>
      <c r="I4" s="265" t="s">
        <v>291</v>
      </c>
      <c r="J4" s="265" t="s">
        <v>292</v>
      </c>
      <c r="K4" s="265" t="s">
        <v>293</v>
      </c>
      <c r="L4" s="265" t="s">
        <v>292</v>
      </c>
      <c r="M4" s="265" t="s">
        <v>294</v>
      </c>
      <c r="N4" s="265" t="s">
        <v>292</v>
      </c>
      <c r="O4" s="265" t="s">
        <v>295</v>
      </c>
      <c r="P4" s="265" t="s">
        <v>4</v>
      </c>
      <c r="Q4" s="265" t="s">
        <v>292</v>
      </c>
      <c r="R4" s="1656"/>
      <c r="S4" s="265" t="s">
        <v>291</v>
      </c>
      <c r="T4" s="265" t="s">
        <v>292</v>
      </c>
      <c r="U4" s="265" t="s">
        <v>294</v>
      </c>
      <c r="V4" s="265" t="s">
        <v>292</v>
      </c>
      <c r="W4" s="265" t="s">
        <v>296</v>
      </c>
      <c r="X4" s="265" t="s">
        <v>292</v>
      </c>
      <c r="Y4" s="265" t="s">
        <v>297</v>
      </c>
      <c r="Z4" s="265" t="s">
        <v>4</v>
      </c>
      <c r="AA4" s="1643"/>
      <c r="AB4" s="1643"/>
      <c r="AC4" s="1643"/>
      <c r="AD4" s="1643"/>
      <c r="AE4" s="1657"/>
      <c r="AF4" s="266"/>
    </row>
    <row r="5" spans="1:32" s="270" customFormat="1">
      <c r="A5" s="268">
        <v>1</v>
      </c>
      <c r="B5" s="268">
        <v>2</v>
      </c>
      <c r="C5" s="268">
        <v>3</v>
      </c>
      <c r="D5" s="268">
        <v>4</v>
      </c>
      <c r="E5" s="268">
        <v>5</v>
      </c>
      <c r="F5" s="268">
        <v>6</v>
      </c>
      <c r="G5" s="268">
        <v>7</v>
      </c>
      <c r="H5" s="268">
        <v>8</v>
      </c>
      <c r="I5" s="268">
        <v>9</v>
      </c>
      <c r="J5" s="268">
        <v>10</v>
      </c>
      <c r="K5" s="268">
        <v>11</v>
      </c>
      <c r="L5" s="268">
        <v>12</v>
      </c>
      <c r="M5" s="268">
        <v>13</v>
      </c>
      <c r="N5" s="268">
        <v>14</v>
      </c>
      <c r="O5" s="268">
        <v>15</v>
      </c>
      <c r="P5" s="268">
        <v>16</v>
      </c>
      <c r="Q5" s="268">
        <v>17</v>
      </c>
      <c r="R5" s="268">
        <v>18</v>
      </c>
      <c r="S5" s="268">
        <v>19</v>
      </c>
      <c r="T5" s="268">
        <v>20</v>
      </c>
      <c r="U5" s="268">
        <v>21</v>
      </c>
      <c r="V5" s="268">
        <v>22</v>
      </c>
      <c r="W5" s="268">
        <v>23</v>
      </c>
      <c r="X5" s="268">
        <v>24</v>
      </c>
      <c r="Y5" s="268">
        <v>25</v>
      </c>
      <c r="Z5" s="268">
        <v>26</v>
      </c>
      <c r="AA5" s="268">
        <v>27</v>
      </c>
      <c r="AB5" s="268">
        <v>28</v>
      </c>
      <c r="AC5" s="268">
        <v>29</v>
      </c>
      <c r="AD5" s="268">
        <v>30</v>
      </c>
      <c r="AE5" s="268">
        <v>31</v>
      </c>
      <c r="AF5" s="269"/>
    </row>
    <row r="6" spans="1:32" s="291" customFormat="1" ht="59.25" customHeight="1">
      <c r="A6" s="1653" t="s">
        <v>298</v>
      </c>
      <c r="B6" s="1653"/>
      <c r="C6" s="1653"/>
      <c r="D6" s="1653"/>
      <c r="E6" s="1653"/>
      <c r="F6" s="1653"/>
      <c r="G6" s="1653"/>
      <c r="H6" s="1653"/>
      <c r="I6" s="1653"/>
      <c r="J6" s="1653"/>
      <c r="K6" s="1653"/>
      <c r="L6" s="1653"/>
      <c r="M6" s="1653"/>
      <c r="N6" s="1653"/>
      <c r="O6" s="1653"/>
      <c r="P6" s="1653"/>
      <c r="Q6" s="1653"/>
      <c r="R6" s="1653"/>
      <c r="S6" s="1653"/>
      <c r="T6" s="1653"/>
      <c r="U6" s="1653"/>
      <c r="V6" s="1653"/>
      <c r="W6" s="1653"/>
      <c r="X6" s="1653"/>
      <c r="Y6" s="1653"/>
      <c r="Z6" s="1653"/>
      <c r="AA6" s="1653"/>
      <c r="AB6" s="1653"/>
      <c r="AC6" s="1653"/>
      <c r="AD6" s="1653"/>
      <c r="AE6" s="1653"/>
      <c r="AF6" s="290"/>
    </row>
    <row r="7" spans="1:32" s="293" customFormat="1" ht="96.75" customHeight="1">
      <c r="A7" s="1643" t="s">
        <v>299</v>
      </c>
      <c r="B7" s="1643"/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3"/>
      <c r="O7" s="1643"/>
      <c r="P7" s="1643"/>
      <c r="Q7" s="1643"/>
      <c r="R7" s="1643"/>
      <c r="S7" s="1643"/>
      <c r="T7" s="1643"/>
      <c r="U7" s="1643"/>
      <c r="V7" s="1643"/>
      <c r="W7" s="1643"/>
      <c r="X7" s="1643"/>
      <c r="Y7" s="1643"/>
      <c r="Z7" s="1643"/>
      <c r="AA7" s="1643"/>
      <c r="AB7" s="1643"/>
      <c r="AC7" s="1643"/>
      <c r="AD7" s="1643"/>
      <c r="AE7" s="1643"/>
      <c r="AF7" s="292"/>
    </row>
    <row r="8" spans="1:32" s="267" customFormat="1" ht="409.5">
      <c r="A8" s="296">
        <v>31</v>
      </c>
      <c r="B8" s="297">
        <v>2</v>
      </c>
      <c r="C8" s="298" t="s">
        <v>301</v>
      </c>
      <c r="D8" s="299" t="s">
        <v>302</v>
      </c>
      <c r="E8" s="299" t="s">
        <v>303</v>
      </c>
      <c r="F8" s="300">
        <v>14</v>
      </c>
      <c r="G8" s="295">
        <v>5</v>
      </c>
      <c r="H8" s="301"/>
      <c r="I8" s="301">
        <v>7500</v>
      </c>
      <c r="J8" s="301">
        <f>I8*F8*(G8+H8)</f>
        <v>525000</v>
      </c>
      <c r="K8" s="273">
        <v>8002</v>
      </c>
      <c r="L8" s="301">
        <f>SUM(K8*F8*G8)</f>
        <v>560140</v>
      </c>
      <c r="M8" s="273">
        <v>6402</v>
      </c>
      <c r="N8" s="301">
        <f>M8*F8*H8</f>
        <v>0</v>
      </c>
      <c r="O8" s="302">
        <v>10000</v>
      </c>
      <c r="P8" s="302">
        <f>O8*H8</f>
        <v>0</v>
      </c>
      <c r="Q8" s="302"/>
      <c r="R8" s="409">
        <f>J8+L8+N8+P8+Q8</f>
        <v>1085140</v>
      </c>
      <c r="S8" s="300"/>
      <c r="T8" s="301"/>
      <c r="U8" s="300"/>
      <c r="V8" s="301"/>
      <c r="W8" s="302"/>
      <c r="X8" s="302"/>
      <c r="Y8" s="302"/>
      <c r="Z8" s="302"/>
      <c r="AA8" s="302"/>
      <c r="AB8" s="302"/>
      <c r="AC8" s="302"/>
      <c r="AD8" s="301"/>
      <c r="AE8" s="301">
        <f>AD8+R8</f>
        <v>1085140</v>
      </c>
      <c r="AF8" s="266"/>
    </row>
    <row r="9" spans="1:32" s="267" customFormat="1" ht="133.5">
      <c r="A9" s="271">
        <v>32</v>
      </c>
      <c r="B9" s="294">
        <v>3</v>
      </c>
      <c r="C9" s="298" t="s">
        <v>304</v>
      </c>
      <c r="D9" s="299" t="s">
        <v>305</v>
      </c>
      <c r="E9" s="299" t="s">
        <v>306</v>
      </c>
      <c r="F9" s="300">
        <v>6</v>
      </c>
      <c r="G9" s="295">
        <v>5</v>
      </c>
      <c r="H9" s="301"/>
      <c r="I9" s="301"/>
      <c r="J9" s="301"/>
      <c r="K9" s="301"/>
      <c r="L9" s="301"/>
      <c r="M9" s="301"/>
      <c r="N9" s="301"/>
      <c r="O9" s="302"/>
      <c r="P9" s="302"/>
      <c r="Q9" s="302"/>
      <c r="R9" s="409">
        <f t="shared" ref="R9:R14" si="0">J9+L9+N9+P9+Q9</f>
        <v>0</v>
      </c>
      <c r="S9" s="286">
        <f>150*580</f>
        <v>87000</v>
      </c>
      <c r="T9" s="301">
        <f>S9*F9*(G9+H9)</f>
        <v>2610000</v>
      </c>
      <c r="U9" s="286">
        <f>150*580</f>
        <v>87000</v>
      </c>
      <c r="V9" s="301">
        <f>U9*F9*(G9+H9)</f>
        <v>2610000</v>
      </c>
      <c r="W9" s="302">
        <v>1000</v>
      </c>
      <c r="X9" s="302">
        <f>W9*(G9+H9)*F9</f>
        <v>30000</v>
      </c>
      <c r="Y9" s="302">
        <v>500000</v>
      </c>
      <c r="Z9" s="302">
        <f>Y9*(G9+H9)</f>
        <v>2500000</v>
      </c>
      <c r="AA9" s="302">
        <v>0</v>
      </c>
      <c r="AB9" s="302">
        <v>30000</v>
      </c>
      <c r="AC9" s="302">
        <v>0</v>
      </c>
      <c r="AD9" s="301">
        <f>T9+V9+X9+Z9+AA9+AB9+AC9</f>
        <v>7780000</v>
      </c>
      <c r="AE9" s="301">
        <f>AD9+R9</f>
        <v>7780000</v>
      </c>
      <c r="AF9" s="266"/>
    </row>
    <row r="10" spans="1:32" s="304" customFormat="1" ht="133.5">
      <c r="A10" s="271">
        <v>34</v>
      </c>
      <c r="B10" s="294">
        <v>5</v>
      </c>
      <c r="C10" s="298" t="s">
        <v>309</v>
      </c>
      <c r="D10" s="299" t="s">
        <v>310</v>
      </c>
      <c r="E10" s="299" t="s">
        <v>311</v>
      </c>
      <c r="F10" s="300">
        <v>6</v>
      </c>
      <c r="G10" s="295">
        <v>5</v>
      </c>
      <c r="H10" s="301"/>
      <c r="I10" s="301"/>
      <c r="J10" s="301"/>
      <c r="K10" s="301"/>
      <c r="L10" s="301"/>
      <c r="M10" s="301"/>
      <c r="N10" s="301"/>
      <c r="O10" s="302"/>
      <c r="P10" s="302"/>
      <c r="Q10" s="302"/>
      <c r="R10" s="409">
        <f>J10+L10+N10+P10+Q10</f>
        <v>0</v>
      </c>
      <c r="S10" s="300">
        <v>91000</v>
      </c>
      <c r="T10" s="301">
        <f>S10*F10*(G10+H10)</f>
        <v>2730000</v>
      </c>
      <c r="U10" s="302">
        <v>20000</v>
      </c>
      <c r="V10" s="301">
        <f>U10*F10*H10</f>
        <v>0</v>
      </c>
      <c r="W10" s="302">
        <v>1000</v>
      </c>
      <c r="X10" s="302">
        <f>W10*(G10+H10)*F10</f>
        <v>30000</v>
      </c>
      <c r="Y10" s="302">
        <v>500000</v>
      </c>
      <c r="Z10" s="302">
        <f>Y10*(G10+H10)</f>
        <v>2500000</v>
      </c>
      <c r="AA10" s="302">
        <v>150048</v>
      </c>
      <c r="AB10" s="302">
        <v>0</v>
      </c>
      <c r="AC10" s="302">
        <v>385397</v>
      </c>
      <c r="AD10" s="301">
        <f>T10+V10+X10+Z10+AA10+AB10+AC10</f>
        <v>5795445</v>
      </c>
      <c r="AE10" s="301">
        <f>AD10+R10</f>
        <v>5795445</v>
      </c>
      <c r="AF10" s="303"/>
    </row>
    <row r="11" spans="1:32" s="304" customFormat="1" ht="409.5">
      <c r="A11" s="296">
        <v>35</v>
      </c>
      <c r="B11" s="297">
        <v>6</v>
      </c>
      <c r="C11" s="298" t="s">
        <v>312</v>
      </c>
      <c r="D11" s="299" t="s">
        <v>313</v>
      </c>
      <c r="E11" s="299" t="s">
        <v>314</v>
      </c>
      <c r="F11" s="300">
        <v>14</v>
      </c>
      <c r="G11" s="295">
        <v>5</v>
      </c>
      <c r="H11" s="301"/>
      <c r="I11" s="301">
        <v>7500</v>
      </c>
      <c r="J11" s="301">
        <f>I11*F11*G11</f>
        <v>525000</v>
      </c>
      <c r="K11" s="273">
        <v>8002</v>
      </c>
      <c r="L11" s="301">
        <f>K11*F11*(G11+H11)</f>
        <v>560140</v>
      </c>
      <c r="M11" s="273">
        <v>6402</v>
      </c>
      <c r="N11" s="301">
        <f>M11*F11*H11</f>
        <v>0</v>
      </c>
      <c r="O11" s="302">
        <v>10000</v>
      </c>
      <c r="P11" s="302">
        <f>O11*H11</f>
        <v>0</v>
      </c>
      <c r="Q11" s="302"/>
      <c r="R11" s="409">
        <f t="shared" si="0"/>
        <v>1085140</v>
      </c>
      <c r="S11" s="300"/>
      <c r="T11" s="301"/>
      <c r="U11" s="300"/>
      <c r="V11" s="301"/>
      <c r="W11" s="302"/>
      <c r="X11" s="302"/>
      <c r="Y11" s="302"/>
      <c r="Z11" s="302"/>
      <c r="AA11" s="302"/>
      <c r="AB11" s="302"/>
      <c r="AC11" s="302"/>
      <c r="AD11" s="301"/>
      <c r="AE11" s="301">
        <f>AD11+R11</f>
        <v>1085140</v>
      </c>
      <c r="AF11" s="303"/>
    </row>
    <row r="12" spans="1:32" s="267" customFormat="1" ht="133.5">
      <c r="A12" s="271">
        <v>36</v>
      </c>
      <c r="B12" s="294">
        <v>7</v>
      </c>
      <c r="C12" s="298" t="s">
        <v>315</v>
      </c>
      <c r="D12" s="299" t="s">
        <v>316</v>
      </c>
      <c r="E12" s="299" t="s">
        <v>317</v>
      </c>
      <c r="F12" s="300">
        <v>6</v>
      </c>
      <c r="G12" s="295">
        <v>5</v>
      </c>
      <c r="H12" s="301"/>
      <c r="I12" s="301"/>
      <c r="J12" s="301"/>
      <c r="K12" s="301"/>
      <c r="L12" s="301"/>
      <c r="M12" s="301"/>
      <c r="N12" s="301"/>
      <c r="O12" s="302"/>
      <c r="P12" s="302"/>
      <c r="Q12" s="302"/>
      <c r="R12" s="409">
        <f>J12+L12+N12+P12+Q12</f>
        <v>0</v>
      </c>
      <c r="S12" s="286">
        <f>150*580</f>
        <v>87000</v>
      </c>
      <c r="T12" s="301">
        <f>S12*F12*(G12+H12)</f>
        <v>2610000</v>
      </c>
      <c r="U12" s="286">
        <f>150*580</f>
        <v>87000</v>
      </c>
      <c r="V12" s="301">
        <f>U12*F12*(G12+H12)</f>
        <v>2610000</v>
      </c>
      <c r="W12" s="302"/>
      <c r="X12" s="302">
        <v>0</v>
      </c>
      <c r="Y12" s="302">
        <v>700000</v>
      </c>
      <c r="Z12" s="302">
        <f>Y12*(G12+H12)</f>
        <v>3500000</v>
      </c>
      <c r="AA12" s="302">
        <v>0</v>
      </c>
      <c r="AB12" s="302">
        <v>0</v>
      </c>
      <c r="AC12" s="302">
        <v>400000</v>
      </c>
      <c r="AD12" s="301">
        <f>T12+V12+X12+Z12+AA12+AB12+AC12</f>
        <v>9120000</v>
      </c>
      <c r="AE12" s="301">
        <f>AD12+R12</f>
        <v>9120000</v>
      </c>
      <c r="AF12" s="266"/>
    </row>
    <row r="13" spans="1:32" s="312" customFormat="1" ht="409.6" customHeight="1">
      <c r="A13" s="296">
        <v>37</v>
      </c>
      <c r="B13" s="297">
        <v>8</v>
      </c>
      <c r="C13" s="305" t="s">
        <v>307</v>
      </c>
      <c r="D13" s="306" t="s">
        <v>318</v>
      </c>
      <c r="E13" s="306" t="s">
        <v>319</v>
      </c>
      <c r="F13" s="307">
        <v>14</v>
      </c>
      <c r="G13" s="295">
        <v>5</v>
      </c>
      <c r="H13" s="308"/>
      <c r="I13" s="307">
        <v>7000</v>
      </c>
      <c r="J13" s="276">
        <f>I13*F13*(G13+H13)</f>
        <v>490000</v>
      </c>
      <c r="K13" s="307">
        <v>7000</v>
      </c>
      <c r="L13" s="307">
        <f>K13*F13*G13</f>
        <v>490000</v>
      </c>
      <c r="M13" s="309">
        <v>6126</v>
      </c>
      <c r="N13" s="309">
        <f>M13*F13*H13</f>
        <v>0</v>
      </c>
      <c r="O13" s="309">
        <v>10000</v>
      </c>
      <c r="P13" s="309">
        <f>O13*H13*2</f>
        <v>0</v>
      </c>
      <c r="Q13" s="307">
        <v>0</v>
      </c>
      <c r="R13" s="409">
        <f t="shared" si="0"/>
        <v>980000</v>
      </c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10">
        <v>0</v>
      </c>
      <c r="AE13" s="311">
        <f>R13+AD13</f>
        <v>980000</v>
      </c>
    </row>
    <row r="14" spans="1:32" s="312" customFormat="1" ht="409.5" customHeight="1">
      <c r="A14" s="271">
        <v>38</v>
      </c>
      <c r="B14" s="294">
        <v>9</v>
      </c>
      <c r="C14" s="305" t="s">
        <v>312</v>
      </c>
      <c r="D14" s="306" t="s">
        <v>310</v>
      </c>
      <c r="E14" s="306" t="s">
        <v>319</v>
      </c>
      <c r="F14" s="307">
        <v>14</v>
      </c>
      <c r="G14" s="295">
        <v>5</v>
      </c>
      <c r="H14" s="308"/>
      <c r="I14" s="307">
        <v>7000</v>
      </c>
      <c r="J14" s="276">
        <f>I14*F14*(G14+H14)</f>
        <v>490000</v>
      </c>
      <c r="K14" s="307">
        <v>7000</v>
      </c>
      <c r="L14" s="307">
        <f>K14*F14*G14</f>
        <v>490000</v>
      </c>
      <c r="M14" s="309">
        <v>6126</v>
      </c>
      <c r="N14" s="309">
        <f>M14*F14*H14</f>
        <v>0</v>
      </c>
      <c r="O14" s="309">
        <v>10000</v>
      </c>
      <c r="P14" s="309">
        <f>O14*H14*2</f>
        <v>0</v>
      </c>
      <c r="Q14" s="307">
        <v>0</v>
      </c>
      <c r="R14" s="409">
        <f t="shared" si="0"/>
        <v>980000</v>
      </c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10">
        <v>0</v>
      </c>
      <c r="AE14" s="311">
        <f>R14+AD14</f>
        <v>980000</v>
      </c>
    </row>
    <row r="15" spans="1:32" s="283" customFormat="1" ht="65.25">
      <c r="A15" s="1652" t="s">
        <v>233</v>
      </c>
      <c r="B15" s="1652"/>
      <c r="C15" s="1652"/>
      <c r="D15" s="1652"/>
      <c r="E15" s="1652"/>
      <c r="F15" s="1652"/>
      <c r="G15" s="1652"/>
      <c r="H15" s="279"/>
      <c r="I15" s="280"/>
      <c r="J15" s="280">
        <f>SUM(J8:J14)</f>
        <v>2030000</v>
      </c>
      <c r="K15" s="280"/>
      <c r="L15" s="280">
        <f>SUM(L8:L14)</f>
        <v>2100280</v>
      </c>
      <c r="M15" s="280"/>
      <c r="N15" s="280">
        <f>SUM(N8:N14)</f>
        <v>0</v>
      </c>
      <c r="O15" s="280"/>
      <c r="P15" s="280">
        <f>SUM(P8:P14)</f>
        <v>0</v>
      </c>
      <c r="Q15" s="280">
        <f>SUM(Q8:Q14)</f>
        <v>0</v>
      </c>
      <c r="R15" s="280">
        <f>J15+L15+N15+P15+Q15</f>
        <v>4130280</v>
      </c>
      <c r="S15" s="280"/>
      <c r="T15" s="280">
        <f>SUM(T8:T14)</f>
        <v>7950000</v>
      </c>
      <c r="U15" s="280"/>
      <c r="V15" s="280">
        <f>SUM(V8:V14)</f>
        <v>5220000</v>
      </c>
      <c r="W15" s="280"/>
      <c r="X15" s="280">
        <f>SUM(X8:X14)</f>
        <v>60000</v>
      </c>
      <c r="Y15" s="280"/>
      <c r="Z15" s="280">
        <f>SUM(Z8:Z14)</f>
        <v>8500000</v>
      </c>
      <c r="AA15" s="280">
        <f>SUM(AA8:AA14)</f>
        <v>150048</v>
      </c>
      <c r="AB15" s="280">
        <f>SUM(AB8:AB14)</f>
        <v>30000</v>
      </c>
      <c r="AC15" s="280">
        <f>SUM(AC8:AC12)</f>
        <v>785397</v>
      </c>
      <c r="AD15" s="281">
        <f>T15+V15+X15+Y15+Z15+AA15+AB15+AC15</f>
        <v>22695445</v>
      </c>
      <c r="AE15" s="280">
        <f>R15+AD15</f>
        <v>26825725</v>
      </c>
      <c r="AF15" s="282"/>
    </row>
    <row r="16" spans="1:32" s="293" customFormat="1" ht="96.75" customHeight="1">
      <c r="A16" s="1643" t="s">
        <v>320</v>
      </c>
      <c r="B16" s="1643"/>
      <c r="C16" s="1643"/>
      <c r="D16" s="1643"/>
      <c r="E16" s="1643"/>
      <c r="F16" s="1643"/>
      <c r="G16" s="1643"/>
      <c r="H16" s="1643"/>
      <c r="I16" s="1643"/>
      <c r="J16" s="1643"/>
      <c r="K16" s="1643"/>
      <c r="L16" s="1643"/>
      <c r="M16" s="1643"/>
      <c r="N16" s="1643"/>
      <c r="O16" s="1643"/>
      <c r="P16" s="1643"/>
      <c r="Q16" s="1643"/>
      <c r="R16" s="1643"/>
      <c r="S16" s="1643"/>
      <c r="T16" s="1643"/>
      <c r="U16" s="1643"/>
      <c r="V16" s="1643"/>
      <c r="W16" s="1643"/>
      <c r="X16" s="1643"/>
      <c r="Y16" s="1643"/>
      <c r="Z16" s="1643"/>
      <c r="AA16" s="1643"/>
      <c r="AB16" s="1643"/>
      <c r="AC16" s="1643"/>
      <c r="AD16" s="1643"/>
      <c r="AE16" s="1643"/>
      <c r="AF16" s="292"/>
    </row>
    <row r="17" spans="1:32" s="314" customFormat="1" ht="409.5">
      <c r="A17" s="296">
        <v>39</v>
      </c>
      <c r="B17" s="297">
        <v>1</v>
      </c>
      <c r="C17" s="298" t="s">
        <v>321</v>
      </c>
      <c r="D17" s="299" t="s">
        <v>322</v>
      </c>
      <c r="E17" s="299" t="s">
        <v>303</v>
      </c>
      <c r="F17" s="300">
        <v>14</v>
      </c>
      <c r="G17" s="300">
        <v>5</v>
      </c>
      <c r="H17" s="301"/>
      <c r="I17" s="301">
        <v>7000</v>
      </c>
      <c r="J17" s="301">
        <f>I17*F17*(G17+H17)</f>
        <v>490000</v>
      </c>
      <c r="K17" s="273">
        <v>8002</v>
      </c>
      <c r="L17" s="301">
        <f>SUM(K17*F17*G17)</f>
        <v>560140</v>
      </c>
      <c r="M17" s="273">
        <v>6402</v>
      </c>
      <c r="N17" s="301">
        <f>M17*F17*H17</f>
        <v>0</v>
      </c>
      <c r="O17" s="302">
        <v>10000</v>
      </c>
      <c r="P17" s="302">
        <f>O17*H17</f>
        <v>0</v>
      </c>
      <c r="Q17" s="302"/>
      <c r="R17" s="409">
        <f t="shared" ref="R17:R22" si="1">J17+L17+N17+P17+Q17</f>
        <v>1050140</v>
      </c>
      <c r="S17" s="300"/>
      <c r="T17" s="301"/>
      <c r="U17" s="300"/>
      <c r="V17" s="301"/>
      <c r="W17" s="302"/>
      <c r="X17" s="302"/>
      <c r="Y17" s="302"/>
      <c r="Z17" s="302"/>
      <c r="AA17" s="302"/>
      <c r="AB17" s="302"/>
      <c r="AC17" s="302"/>
      <c r="AD17" s="301"/>
      <c r="AE17" s="301">
        <f t="shared" ref="AE17:AE22" si="2">AD17+R17</f>
        <v>1050140</v>
      </c>
      <c r="AF17" s="313"/>
    </row>
    <row r="18" spans="1:32" s="314" customFormat="1" ht="267">
      <c r="A18" s="296">
        <v>40</v>
      </c>
      <c r="B18" s="315">
        <v>2</v>
      </c>
      <c r="C18" s="298" t="s">
        <v>304</v>
      </c>
      <c r="D18" s="299" t="s">
        <v>323</v>
      </c>
      <c r="E18" s="299" t="s">
        <v>324</v>
      </c>
      <c r="F18" s="300">
        <v>6</v>
      </c>
      <c r="G18" s="300">
        <v>6</v>
      </c>
      <c r="H18" s="301"/>
      <c r="I18" s="301"/>
      <c r="J18" s="301"/>
      <c r="K18" s="301"/>
      <c r="L18" s="301"/>
      <c r="M18" s="301"/>
      <c r="N18" s="301"/>
      <c r="O18" s="302"/>
      <c r="P18" s="302"/>
      <c r="Q18" s="302"/>
      <c r="R18" s="409">
        <f t="shared" si="1"/>
        <v>0</v>
      </c>
      <c r="S18" s="300">
        <f>80*520</f>
        <v>41600</v>
      </c>
      <c r="T18" s="301">
        <f>S18*F18*(G18+H18)</f>
        <v>1497600</v>
      </c>
      <c r="U18" s="302">
        <f>80*520</f>
        <v>41600</v>
      </c>
      <c r="V18" s="301">
        <f>U18*F18*(G18+H18)</f>
        <v>1497600</v>
      </c>
      <c r="W18" s="302">
        <v>1000</v>
      </c>
      <c r="X18" s="302">
        <f>W18*(G18+H18)*F18</f>
        <v>36000</v>
      </c>
      <c r="Y18" s="302">
        <v>300000</v>
      </c>
      <c r="Z18" s="302">
        <f>Y18*(G18+H18)</f>
        <v>1800000</v>
      </c>
      <c r="AA18" s="302">
        <v>0</v>
      </c>
      <c r="AB18" s="302">
        <v>25000</v>
      </c>
      <c r="AC18" s="302">
        <v>0</v>
      </c>
      <c r="AD18" s="301">
        <f>T18+V18+X18+Z18+AA18+AB18+AC18</f>
        <v>4856200</v>
      </c>
      <c r="AE18" s="301">
        <f t="shared" si="2"/>
        <v>4856200</v>
      </c>
      <c r="AF18" s="313"/>
    </row>
    <row r="19" spans="1:32" s="314" customFormat="1" ht="267">
      <c r="A19" s="296">
        <v>41</v>
      </c>
      <c r="B19" s="297">
        <v>3</v>
      </c>
      <c r="C19" s="298" t="s">
        <v>304</v>
      </c>
      <c r="D19" s="299" t="s">
        <v>308</v>
      </c>
      <c r="E19" s="299" t="s">
        <v>324</v>
      </c>
      <c r="F19" s="300">
        <v>6</v>
      </c>
      <c r="G19" s="300">
        <v>6</v>
      </c>
      <c r="H19" s="301"/>
      <c r="I19" s="301"/>
      <c r="J19" s="301"/>
      <c r="K19" s="301"/>
      <c r="L19" s="301"/>
      <c r="M19" s="301"/>
      <c r="N19" s="301"/>
      <c r="O19" s="302"/>
      <c r="P19" s="302"/>
      <c r="Q19" s="302"/>
      <c r="R19" s="409">
        <f t="shared" si="1"/>
        <v>0</v>
      </c>
      <c r="S19" s="300">
        <f>80*520</f>
        <v>41600</v>
      </c>
      <c r="T19" s="301">
        <f>S19*F19*(G19+H19)</f>
        <v>1497600</v>
      </c>
      <c r="U19" s="302">
        <f>80*520</f>
        <v>41600</v>
      </c>
      <c r="V19" s="301">
        <f>U19*F19*(G19+H19)</f>
        <v>1497600</v>
      </c>
      <c r="W19" s="302">
        <v>1000</v>
      </c>
      <c r="X19" s="302">
        <f>W19*(G19+H19)*F19</f>
        <v>36000</v>
      </c>
      <c r="Y19" s="302">
        <v>300000</v>
      </c>
      <c r="Z19" s="302">
        <f>Y19*(G19+H19)</f>
        <v>1800000</v>
      </c>
      <c r="AA19" s="302">
        <v>0</v>
      </c>
      <c r="AB19" s="302">
        <v>12500</v>
      </c>
      <c r="AC19" s="302">
        <v>0</v>
      </c>
      <c r="AD19" s="301">
        <f>T19+V19+X19+Z19+AA19+AB19+AC19</f>
        <v>4843700</v>
      </c>
      <c r="AE19" s="301">
        <f t="shared" si="2"/>
        <v>4843700</v>
      </c>
      <c r="AF19" s="313"/>
    </row>
    <row r="20" spans="1:32" s="314" customFormat="1" ht="409.5">
      <c r="A20" s="296">
        <v>42</v>
      </c>
      <c r="B20" s="315">
        <v>4</v>
      </c>
      <c r="C20" s="298" t="s">
        <v>325</v>
      </c>
      <c r="D20" s="299" t="s">
        <v>326</v>
      </c>
      <c r="E20" s="299" t="s">
        <v>327</v>
      </c>
      <c r="F20" s="300">
        <v>14</v>
      </c>
      <c r="G20" s="300">
        <v>10</v>
      </c>
      <c r="H20" s="301"/>
      <c r="I20" s="301">
        <v>7000</v>
      </c>
      <c r="J20" s="301">
        <f>I20*F20*(G20+H20)</f>
        <v>980000</v>
      </c>
      <c r="K20" s="273">
        <v>8002</v>
      </c>
      <c r="L20" s="301">
        <f>SUM(K20*F20*G20)</f>
        <v>1120280</v>
      </c>
      <c r="M20" s="273">
        <v>6402</v>
      </c>
      <c r="N20" s="301">
        <f>M20*F20*H20</f>
        <v>0</v>
      </c>
      <c r="O20" s="302">
        <v>10000</v>
      </c>
      <c r="P20" s="302">
        <f>O20*H20</f>
        <v>0</v>
      </c>
      <c r="Q20" s="302"/>
      <c r="R20" s="409">
        <f t="shared" si="1"/>
        <v>2100280</v>
      </c>
      <c r="S20" s="300"/>
      <c r="T20" s="301"/>
      <c r="U20" s="300"/>
      <c r="V20" s="301"/>
      <c r="W20" s="302"/>
      <c r="X20" s="302"/>
      <c r="Y20" s="302"/>
      <c r="Z20" s="302"/>
      <c r="AA20" s="302"/>
      <c r="AB20" s="302"/>
      <c r="AC20" s="302"/>
      <c r="AD20" s="301"/>
      <c r="AE20" s="301">
        <f t="shared" si="2"/>
        <v>2100280</v>
      </c>
      <c r="AF20" s="313"/>
    </row>
    <row r="21" spans="1:32" s="314" customFormat="1" ht="409.5">
      <c r="A21" s="296">
        <v>43</v>
      </c>
      <c r="B21" s="297">
        <v>5</v>
      </c>
      <c r="C21" s="298" t="s">
        <v>328</v>
      </c>
      <c r="D21" s="299" t="s">
        <v>318</v>
      </c>
      <c r="E21" s="299" t="s">
        <v>303</v>
      </c>
      <c r="F21" s="300">
        <v>14</v>
      </c>
      <c r="G21" s="300">
        <v>5</v>
      </c>
      <c r="H21" s="301"/>
      <c r="I21" s="301">
        <v>7000</v>
      </c>
      <c r="J21" s="301">
        <f>I21*F21*(G21+H21)</f>
        <v>490000</v>
      </c>
      <c r="K21" s="273">
        <v>8002</v>
      </c>
      <c r="L21" s="301">
        <f>SUM(K21*F21*G21)</f>
        <v>560140</v>
      </c>
      <c r="M21" s="273">
        <v>6402</v>
      </c>
      <c r="N21" s="301">
        <f>M21*F21*H21</f>
        <v>0</v>
      </c>
      <c r="O21" s="302">
        <v>10000</v>
      </c>
      <c r="P21" s="302">
        <f>O21*H21</f>
        <v>0</v>
      </c>
      <c r="Q21" s="302"/>
      <c r="R21" s="409">
        <f t="shared" si="1"/>
        <v>1050140</v>
      </c>
      <c r="S21" s="300"/>
      <c r="T21" s="301"/>
      <c r="U21" s="300"/>
      <c r="V21" s="301"/>
      <c r="W21" s="302"/>
      <c r="X21" s="302"/>
      <c r="Y21" s="302"/>
      <c r="Z21" s="302"/>
      <c r="AA21" s="302"/>
      <c r="AB21" s="302"/>
      <c r="AC21" s="302"/>
      <c r="AD21" s="301"/>
      <c r="AE21" s="301">
        <f t="shared" si="2"/>
        <v>1050140</v>
      </c>
      <c r="AF21" s="313"/>
    </row>
    <row r="22" spans="1:32" s="314" customFormat="1" ht="133.5">
      <c r="A22" s="296">
        <v>44</v>
      </c>
      <c r="B22" s="315">
        <v>6</v>
      </c>
      <c r="C22" s="298" t="s">
        <v>309</v>
      </c>
      <c r="D22" s="299" t="s">
        <v>318</v>
      </c>
      <c r="E22" s="299" t="s">
        <v>329</v>
      </c>
      <c r="F22" s="300">
        <v>7</v>
      </c>
      <c r="G22" s="300">
        <v>10</v>
      </c>
      <c r="H22" s="301"/>
      <c r="I22" s="301"/>
      <c r="J22" s="301"/>
      <c r="K22" s="301"/>
      <c r="L22" s="301"/>
      <c r="M22" s="301"/>
      <c r="N22" s="301"/>
      <c r="O22" s="302"/>
      <c r="P22" s="302"/>
      <c r="Q22" s="302"/>
      <c r="R22" s="409">
        <f t="shared" si="1"/>
        <v>0</v>
      </c>
      <c r="S22" s="286">
        <f>150*580</f>
        <v>87000</v>
      </c>
      <c r="T22" s="301">
        <f>S22*F22*(G22+H22)</f>
        <v>6090000</v>
      </c>
      <c r="U22" s="286">
        <f>150*580</f>
        <v>87000</v>
      </c>
      <c r="V22" s="301">
        <f>U22*F22*(G22+H22)</f>
        <v>6090000</v>
      </c>
      <c r="W22" s="302">
        <v>1000</v>
      </c>
      <c r="X22" s="302">
        <f>W22*(G22+H22)*F22</f>
        <v>70000</v>
      </c>
      <c r="Y22" s="302">
        <v>500000</v>
      </c>
      <c r="Z22" s="302">
        <f>Y22*(G22+H22)</f>
        <v>5000000</v>
      </c>
      <c r="AA22" s="302">
        <v>0</v>
      </c>
      <c r="AB22" s="302">
        <v>0</v>
      </c>
      <c r="AC22" s="302">
        <v>300000</v>
      </c>
      <c r="AD22" s="301">
        <f>T22+V22+X22+Z22+AA22+AB22+AC22</f>
        <v>17550000</v>
      </c>
      <c r="AE22" s="301">
        <f t="shared" si="2"/>
        <v>17550000</v>
      </c>
      <c r="AF22" s="313"/>
    </row>
    <row r="23" spans="1:32" s="322" customFormat="1" ht="409.5">
      <c r="A23" s="296">
        <v>45</v>
      </c>
      <c r="B23" s="297">
        <v>7</v>
      </c>
      <c r="C23" s="305" t="s">
        <v>330</v>
      </c>
      <c r="D23" s="306" t="s">
        <v>323</v>
      </c>
      <c r="E23" s="306" t="s">
        <v>319</v>
      </c>
      <c r="F23" s="316">
        <v>14</v>
      </c>
      <c r="G23" s="317">
        <v>5</v>
      </c>
      <c r="H23" s="318"/>
      <c r="I23" s="307">
        <v>7000</v>
      </c>
      <c r="J23" s="276">
        <f>I23*F23*(G23+H23)</f>
        <v>490000</v>
      </c>
      <c r="K23" s="307">
        <v>7000</v>
      </c>
      <c r="L23" s="319">
        <f>K23*F23*G23</f>
        <v>490000</v>
      </c>
      <c r="M23" s="309">
        <v>6126</v>
      </c>
      <c r="N23" s="309">
        <f>M23*F23*H23</f>
        <v>0</v>
      </c>
      <c r="O23" s="309">
        <v>10000</v>
      </c>
      <c r="P23" s="309">
        <f>O23*H23*2</f>
        <v>0</v>
      </c>
      <c r="Q23" s="320">
        <v>0</v>
      </c>
      <c r="R23" s="410">
        <f>P23+N23+L23+J23</f>
        <v>980000</v>
      </c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10">
        <v>0</v>
      </c>
      <c r="AE23" s="321">
        <f>R23+AD23</f>
        <v>980000</v>
      </c>
    </row>
    <row r="24" spans="1:32" s="322" customFormat="1" ht="409.5">
      <c r="A24" s="296">
        <v>46</v>
      </c>
      <c r="B24" s="315">
        <v>8</v>
      </c>
      <c r="C24" s="305" t="s">
        <v>331</v>
      </c>
      <c r="D24" s="306" t="s">
        <v>332</v>
      </c>
      <c r="E24" s="306" t="s">
        <v>319</v>
      </c>
      <c r="F24" s="316">
        <v>14</v>
      </c>
      <c r="G24" s="317">
        <v>5</v>
      </c>
      <c r="H24" s="318"/>
      <c r="I24" s="307">
        <v>7000</v>
      </c>
      <c r="J24" s="276">
        <f>I24*F24*(G24+H24)</f>
        <v>490000</v>
      </c>
      <c r="K24" s="307">
        <v>7000</v>
      </c>
      <c r="L24" s="319">
        <f>K24*F24*G24</f>
        <v>490000</v>
      </c>
      <c r="M24" s="309">
        <v>6126</v>
      </c>
      <c r="N24" s="309">
        <f>M24*F24*H24</f>
        <v>0</v>
      </c>
      <c r="O24" s="309">
        <v>10000</v>
      </c>
      <c r="P24" s="309">
        <f>O24*H24*2</f>
        <v>0</v>
      </c>
      <c r="Q24" s="320">
        <v>0</v>
      </c>
      <c r="R24" s="410">
        <f>P24+N24+L24+J24</f>
        <v>980000</v>
      </c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10">
        <v>0</v>
      </c>
      <c r="AE24" s="321">
        <f>R24+AD24</f>
        <v>980000</v>
      </c>
    </row>
    <row r="25" spans="1:32" s="322" customFormat="1" ht="409.5">
      <c r="A25" s="296">
        <v>47</v>
      </c>
      <c r="B25" s="297">
        <v>9</v>
      </c>
      <c r="C25" s="305" t="s">
        <v>333</v>
      </c>
      <c r="D25" s="306" t="s">
        <v>310</v>
      </c>
      <c r="E25" s="306" t="s">
        <v>319</v>
      </c>
      <c r="F25" s="316">
        <v>14</v>
      </c>
      <c r="G25" s="317">
        <v>10</v>
      </c>
      <c r="H25" s="318"/>
      <c r="I25" s="307">
        <v>7000</v>
      </c>
      <c r="J25" s="276">
        <f>I25*F25*(G25+H25)</f>
        <v>980000</v>
      </c>
      <c r="K25" s="307">
        <v>7000</v>
      </c>
      <c r="L25" s="319">
        <f>K25*F25*G25</f>
        <v>980000</v>
      </c>
      <c r="M25" s="309">
        <v>6126</v>
      </c>
      <c r="N25" s="309">
        <f>M25*F25*H25</f>
        <v>0</v>
      </c>
      <c r="O25" s="309">
        <v>10000</v>
      </c>
      <c r="P25" s="309">
        <f>O25*H25*2</f>
        <v>0</v>
      </c>
      <c r="Q25" s="320">
        <v>0</v>
      </c>
      <c r="R25" s="410">
        <f>P25+N25+L25+J25</f>
        <v>1960000</v>
      </c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10">
        <v>0</v>
      </c>
      <c r="AE25" s="321">
        <f>R25+AD25</f>
        <v>1960000</v>
      </c>
    </row>
    <row r="26" spans="1:32" s="322" customFormat="1" ht="133.5">
      <c r="A26" s="296">
        <v>48</v>
      </c>
      <c r="B26" s="315">
        <v>10</v>
      </c>
      <c r="C26" s="305" t="s">
        <v>334</v>
      </c>
      <c r="D26" s="306" t="s">
        <v>310</v>
      </c>
      <c r="E26" s="306" t="s">
        <v>335</v>
      </c>
      <c r="F26" s="316">
        <v>6</v>
      </c>
      <c r="G26" s="317">
        <v>10</v>
      </c>
      <c r="H26" s="318"/>
      <c r="I26" s="307">
        <v>0</v>
      </c>
      <c r="J26" s="276">
        <v>0</v>
      </c>
      <c r="K26" s="307">
        <v>0</v>
      </c>
      <c r="L26" s="319">
        <v>0</v>
      </c>
      <c r="M26" s="309">
        <v>0</v>
      </c>
      <c r="N26" s="309">
        <v>0</v>
      </c>
      <c r="O26" s="309">
        <v>0</v>
      </c>
      <c r="P26" s="309">
        <v>0</v>
      </c>
      <c r="Q26" s="320">
        <v>0</v>
      </c>
      <c r="R26" s="410">
        <v>0</v>
      </c>
      <c r="S26" s="286">
        <f>150*580</f>
        <v>87000</v>
      </c>
      <c r="T26" s="307">
        <f>S26*F26*(G26+H26)</f>
        <v>5220000</v>
      </c>
      <c r="U26" s="286">
        <f>150*580</f>
        <v>87000</v>
      </c>
      <c r="V26" s="307">
        <f>U26*F26*(G26+H26)</f>
        <v>5220000</v>
      </c>
      <c r="W26" s="323">
        <v>20000</v>
      </c>
      <c r="X26" s="307">
        <f>W26*F26*(G26+H26)</f>
        <v>1200000</v>
      </c>
      <c r="Y26" s="323">
        <v>800000</v>
      </c>
      <c r="Z26" s="307">
        <f>Y26*(G26+H26)</f>
        <v>8000000</v>
      </c>
      <c r="AA26" s="323">
        <f>50000*(G26+H26)</f>
        <v>500000</v>
      </c>
      <c r="AB26" s="323">
        <v>0</v>
      </c>
      <c r="AC26" s="323">
        <v>0</v>
      </c>
      <c r="AD26" s="324">
        <v>0</v>
      </c>
      <c r="AE26" s="325">
        <f>AA26+Z26+X26+V26+T26</f>
        <v>20140000</v>
      </c>
    </row>
    <row r="27" spans="1:32" s="293" customFormat="1" ht="96.75" customHeight="1">
      <c r="A27" s="1644" t="s">
        <v>233</v>
      </c>
      <c r="B27" s="1644"/>
      <c r="C27" s="1644"/>
      <c r="D27" s="1644"/>
      <c r="E27" s="1644"/>
      <c r="F27" s="1644"/>
      <c r="G27" s="1644"/>
      <c r="H27" s="326"/>
      <c r="I27" s="281"/>
      <c r="J27" s="281">
        <f>SUM(J17:J26)</f>
        <v>3920000</v>
      </c>
      <c r="K27" s="281"/>
      <c r="L27" s="281">
        <f>SUM(L17:L26)</f>
        <v>4200560</v>
      </c>
      <c r="M27" s="281"/>
      <c r="N27" s="281">
        <f>SUM(N17:N26)</f>
        <v>0</v>
      </c>
      <c r="O27" s="280"/>
      <c r="P27" s="280">
        <f>SUM(P17:P26)</f>
        <v>0</v>
      </c>
      <c r="Q27" s="280">
        <f>SUM(Q17:Q26)</f>
        <v>0</v>
      </c>
      <c r="R27" s="280">
        <f>J27+L27+N27+P27+Q27</f>
        <v>8120560</v>
      </c>
      <c r="S27" s="280"/>
      <c r="T27" s="280">
        <f>SUM(T17:T26)</f>
        <v>14305200</v>
      </c>
      <c r="U27" s="280"/>
      <c r="V27" s="280">
        <f>SUM(V17:V26)</f>
        <v>14305200</v>
      </c>
      <c r="W27" s="280"/>
      <c r="X27" s="280">
        <f>SUM(X17:X26)</f>
        <v>1342000</v>
      </c>
      <c r="Y27" s="280"/>
      <c r="Z27" s="280">
        <f>SUM(Z17:Z26)</f>
        <v>16600000</v>
      </c>
      <c r="AA27" s="280">
        <f>SUM(AA17:AA26)</f>
        <v>500000</v>
      </c>
      <c r="AB27" s="281">
        <f>SUM(AB17:AB26)</f>
        <v>37500</v>
      </c>
      <c r="AC27" s="281">
        <f>SUM(AC17:AC26)</f>
        <v>300000</v>
      </c>
      <c r="AD27" s="281">
        <f>T27+V27+X27+Z27+AA27+AB27+AC27</f>
        <v>47389900</v>
      </c>
      <c r="AE27" s="280">
        <f>R27+AD27</f>
        <v>55510460</v>
      </c>
      <c r="AF27" s="292"/>
    </row>
    <row r="28" spans="1:32" s="293" customFormat="1" ht="96.75" customHeight="1">
      <c r="A28" s="1643" t="s">
        <v>336</v>
      </c>
      <c r="B28" s="1643"/>
      <c r="C28" s="1643"/>
      <c r="D28" s="1643"/>
      <c r="E28" s="1643"/>
      <c r="F28" s="1643"/>
      <c r="G28" s="1643"/>
      <c r="H28" s="1643"/>
      <c r="I28" s="1643"/>
      <c r="J28" s="1643"/>
      <c r="K28" s="1643"/>
      <c r="L28" s="1643"/>
      <c r="M28" s="1643"/>
      <c r="N28" s="1643"/>
      <c r="O28" s="1643"/>
      <c r="P28" s="1643"/>
      <c r="Q28" s="1643"/>
      <c r="R28" s="1643"/>
      <c r="S28" s="1643"/>
      <c r="T28" s="1643"/>
      <c r="U28" s="1643"/>
      <c r="V28" s="1643"/>
      <c r="W28" s="1643"/>
      <c r="X28" s="1643"/>
      <c r="Y28" s="1643"/>
      <c r="Z28" s="1643"/>
      <c r="AA28" s="1643"/>
      <c r="AB28" s="1643"/>
      <c r="AC28" s="1643"/>
      <c r="AD28" s="1643"/>
      <c r="AE28" s="1643"/>
      <c r="AF28" s="292"/>
    </row>
    <row r="29" spans="1:32" s="339" customFormat="1" ht="409.5">
      <c r="A29" s="327">
        <v>49</v>
      </c>
      <c r="B29" s="328">
        <v>1</v>
      </c>
      <c r="C29" s="329" t="s">
        <v>301</v>
      </c>
      <c r="D29" s="330" t="s">
        <v>337</v>
      </c>
      <c r="E29" s="331" t="s">
        <v>338</v>
      </c>
      <c r="F29" s="332">
        <v>18</v>
      </c>
      <c r="G29" s="295">
        <v>5</v>
      </c>
      <c r="H29" s="332"/>
      <c r="I29" s="333">
        <v>8000</v>
      </c>
      <c r="J29" s="334">
        <f>I29*F29*(G29+H29)</f>
        <v>720000</v>
      </c>
      <c r="K29" s="273">
        <v>8002</v>
      </c>
      <c r="L29" s="335">
        <f>K29*F29*G29</f>
        <v>720180</v>
      </c>
      <c r="M29" s="273">
        <v>6402</v>
      </c>
      <c r="N29" s="336">
        <f>M29*H29*F29</f>
        <v>0</v>
      </c>
      <c r="O29" s="336">
        <v>10000</v>
      </c>
      <c r="P29" s="336">
        <f>O29*H29*2</f>
        <v>0</v>
      </c>
      <c r="Q29" s="336">
        <v>0</v>
      </c>
      <c r="R29" s="411">
        <f>P29+Q29+N29+L29+J29</f>
        <v>1440180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8"/>
      <c r="AE29" s="301">
        <f>R29+AD29</f>
        <v>1440180</v>
      </c>
    </row>
    <row r="30" spans="1:32" s="339" customFormat="1" ht="118.5" customHeight="1">
      <c r="A30" s="327">
        <v>51</v>
      </c>
      <c r="B30" s="328">
        <v>3</v>
      </c>
      <c r="C30" s="341" t="s">
        <v>304</v>
      </c>
      <c r="D30" s="299" t="s">
        <v>340</v>
      </c>
      <c r="E30" s="331" t="s">
        <v>339</v>
      </c>
      <c r="F30" s="342">
        <v>6</v>
      </c>
      <c r="G30" s="295">
        <v>5</v>
      </c>
      <c r="H30" s="332"/>
      <c r="I30" s="333"/>
      <c r="J30" s="334"/>
      <c r="K30" s="333"/>
      <c r="L30" s="335"/>
      <c r="M30" s="336"/>
      <c r="N30" s="336"/>
      <c r="O30" s="336"/>
      <c r="P30" s="336"/>
      <c r="Q30" s="336"/>
      <c r="R30" s="411"/>
      <c r="S30" s="286">
        <f>150*580</f>
        <v>87000</v>
      </c>
      <c r="T30" s="343">
        <f>S30*F30*(G30+H30)</f>
        <v>2610000</v>
      </c>
      <c r="U30" s="286">
        <f>150*580</f>
        <v>87000</v>
      </c>
      <c r="V30" s="343">
        <f>U30*F30*(G30+H30)</f>
        <v>2610000</v>
      </c>
      <c r="W30" s="344">
        <v>14001</v>
      </c>
      <c r="X30" s="343">
        <f>W30*(G30+H30)</f>
        <v>70005</v>
      </c>
      <c r="Y30" s="344"/>
      <c r="Z30" s="335"/>
      <c r="AA30" s="344"/>
      <c r="AB30" s="344"/>
      <c r="AC30" s="344"/>
      <c r="AD30" s="301">
        <f>T30+V30+X30+Z30+AA30+AB30+AC30</f>
        <v>5290005</v>
      </c>
      <c r="AE30" s="301">
        <f>AD30+R30</f>
        <v>5290005</v>
      </c>
    </row>
    <row r="31" spans="1:32" s="339" customFormat="1" ht="133.5">
      <c r="A31" s="327">
        <v>53</v>
      </c>
      <c r="B31" s="328">
        <v>5</v>
      </c>
      <c r="C31" s="345" t="s">
        <v>309</v>
      </c>
      <c r="D31" s="346" t="s">
        <v>318</v>
      </c>
      <c r="E31" s="346" t="s">
        <v>329</v>
      </c>
      <c r="F31" s="347">
        <v>6</v>
      </c>
      <c r="G31" s="295">
        <v>5</v>
      </c>
      <c r="H31" s="348"/>
      <c r="I31" s="349"/>
      <c r="J31" s="350"/>
      <c r="K31" s="349"/>
      <c r="L31" s="351"/>
      <c r="M31" s="352"/>
      <c r="N31" s="352"/>
      <c r="O31" s="352"/>
      <c r="P31" s="352"/>
      <c r="Q31" s="352"/>
      <c r="R31" s="412"/>
      <c r="S31" s="286">
        <f>150*580</f>
        <v>87000</v>
      </c>
      <c r="T31" s="353">
        <f>S31*F31*(G31+H31)</f>
        <v>2610000</v>
      </c>
      <c r="U31" s="286">
        <f>150*580</f>
        <v>87000</v>
      </c>
      <c r="V31" s="353">
        <f>U31*F31*(G31+H31)</f>
        <v>2610000</v>
      </c>
      <c r="W31" s="354">
        <v>14000</v>
      </c>
      <c r="X31" s="353">
        <f>W31*(G31+H31)</f>
        <v>70000</v>
      </c>
      <c r="Y31" s="354">
        <v>700000</v>
      </c>
      <c r="Z31" s="351">
        <f>Y31*(G31+H31)</f>
        <v>3500000</v>
      </c>
      <c r="AA31" s="354">
        <v>400000</v>
      </c>
      <c r="AB31" s="354"/>
      <c r="AC31" s="354"/>
      <c r="AD31" s="355">
        <f>T31+V31+X31+Z31+AA31+AB31+AC31</f>
        <v>9190000</v>
      </c>
      <c r="AE31" s="355">
        <f>AD31+R31</f>
        <v>9190000</v>
      </c>
    </row>
    <row r="32" spans="1:32" s="322" customFormat="1" ht="333.75">
      <c r="A32" s="340">
        <v>54</v>
      </c>
      <c r="B32" s="294">
        <v>6</v>
      </c>
      <c r="C32" s="305" t="s">
        <v>341</v>
      </c>
      <c r="D32" s="306" t="s">
        <v>342</v>
      </c>
      <c r="E32" s="306" t="s">
        <v>343</v>
      </c>
      <c r="F32" s="356">
        <v>7</v>
      </c>
      <c r="G32" s="295">
        <v>5</v>
      </c>
      <c r="H32" s="357"/>
      <c r="I32" s="307"/>
      <c r="J32" s="276"/>
      <c r="K32" s="307"/>
      <c r="L32" s="319"/>
      <c r="M32" s="309"/>
      <c r="N32" s="309"/>
      <c r="O32" s="309"/>
      <c r="P32" s="309"/>
      <c r="Q32" s="320"/>
      <c r="R32" s="410">
        <v>0</v>
      </c>
      <c r="S32" s="286">
        <f>150*580</f>
        <v>87000</v>
      </c>
      <c r="T32" s="307">
        <f>S32*F32*(G32+H32)</f>
        <v>3045000</v>
      </c>
      <c r="U32" s="286">
        <f>150*580</f>
        <v>87000</v>
      </c>
      <c r="V32" s="353">
        <f>U32*F32*(G32+H32)</f>
        <v>3045000</v>
      </c>
      <c r="W32" s="323">
        <v>17000</v>
      </c>
      <c r="X32" s="307">
        <f>W32*(G32+H32)</f>
        <v>85000</v>
      </c>
      <c r="Y32" s="323">
        <v>300000</v>
      </c>
      <c r="Z32" s="307">
        <f>Y32*(G32+H32)</f>
        <v>1500000</v>
      </c>
      <c r="AA32" s="323">
        <f>50000*(G32+H32)</f>
        <v>250000</v>
      </c>
      <c r="AB32" s="323">
        <v>0</v>
      </c>
      <c r="AC32" s="323">
        <f>18000*(G32+H32)</f>
        <v>90000</v>
      </c>
      <c r="AD32" s="358">
        <f>T32+V32+X32+Z32+AA32+AB32+AC32</f>
        <v>8015000</v>
      </c>
      <c r="AE32" s="325">
        <f>T32+V32+X32+Z32+AA32+AB32+AC32</f>
        <v>8015000</v>
      </c>
    </row>
    <row r="33" spans="1:32" s="322" customFormat="1" ht="245.1" customHeight="1">
      <c r="A33" s="327">
        <v>55</v>
      </c>
      <c r="B33" s="328">
        <v>7</v>
      </c>
      <c r="C33" s="305" t="s">
        <v>334</v>
      </c>
      <c r="D33" s="306" t="s">
        <v>344</v>
      </c>
      <c r="E33" s="306" t="s">
        <v>345</v>
      </c>
      <c r="F33" s="316">
        <v>7</v>
      </c>
      <c r="G33" s="295">
        <v>5</v>
      </c>
      <c r="H33" s="357"/>
      <c r="I33" s="307"/>
      <c r="J33" s="276"/>
      <c r="K33" s="307"/>
      <c r="L33" s="319"/>
      <c r="M33" s="309"/>
      <c r="N33" s="309"/>
      <c r="O33" s="309"/>
      <c r="P33" s="309"/>
      <c r="Q33" s="320"/>
      <c r="R33" s="410">
        <v>0</v>
      </c>
      <c r="S33" s="307">
        <v>91000</v>
      </c>
      <c r="T33" s="307">
        <f>S33*F33*(G33+H33)</f>
        <v>3185000</v>
      </c>
      <c r="U33" s="323">
        <v>0</v>
      </c>
      <c r="V33" s="307">
        <v>0</v>
      </c>
      <c r="W33" s="307">
        <v>20000</v>
      </c>
      <c r="X33" s="307">
        <f>W33*(G33+H33)</f>
        <v>100000</v>
      </c>
      <c r="Y33" s="307">
        <v>700000</v>
      </c>
      <c r="Z33" s="307">
        <f>Y33*(G33+H33)</f>
        <v>3500000</v>
      </c>
      <c r="AA33" s="307">
        <f>40000*(G33+H33)</f>
        <v>200000</v>
      </c>
      <c r="AB33" s="307">
        <v>0</v>
      </c>
      <c r="AC33" s="359">
        <f>56400*G33+15000*(G33+H33)</f>
        <v>357000</v>
      </c>
      <c r="AD33" s="358">
        <f>T33+V33+X33+Z33+AA33+AB33+AC33</f>
        <v>7342000</v>
      </c>
      <c r="AE33" s="325">
        <f>T33+V33+X33+Z33+AA33+AB33+AC33</f>
        <v>7342000</v>
      </c>
    </row>
    <row r="34" spans="1:32" s="293" customFormat="1" ht="96.75" customHeight="1">
      <c r="A34" s="1644" t="s">
        <v>233</v>
      </c>
      <c r="B34" s="1644"/>
      <c r="C34" s="1644"/>
      <c r="D34" s="1644"/>
      <c r="E34" s="1644"/>
      <c r="F34" s="1644"/>
      <c r="G34" s="1644"/>
      <c r="H34" s="326"/>
      <c r="I34" s="281"/>
      <c r="J34" s="281">
        <f>SUM(J29:J33)</f>
        <v>720000</v>
      </c>
      <c r="K34" s="281"/>
      <c r="L34" s="281">
        <f>SUM(L29:L33)</f>
        <v>720180</v>
      </c>
      <c r="M34" s="281"/>
      <c r="N34" s="281">
        <f>SUM(N29:N33)</f>
        <v>0</v>
      </c>
      <c r="O34" s="280"/>
      <c r="P34" s="280">
        <f>SUM(P29:P33)</f>
        <v>0</v>
      </c>
      <c r="Q34" s="280">
        <f>SUM(Q29:Q33)</f>
        <v>0</v>
      </c>
      <c r="R34" s="280">
        <f>J34+L34+N34+P34+Q34</f>
        <v>1440180</v>
      </c>
      <c r="S34" s="280"/>
      <c r="T34" s="280">
        <f>SUM(T29:T33)</f>
        <v>11450000</v>
      </c>
      <c r="U34" s="280"/>
      <c r="V34" s="280">
        <f>SUM(V29:V33)</f>
        <v>8265000</v>
      </c>
      <c r="W34" s="280"/>
      <c r="X34" s="280">
        <f>SUM(X29:X33)</f>
        <v>325005</v>
      </c>
      <c r="Y34" s="280"/>
      <c r="Z34" s="280">
        <f>SUM(Z29:Z33)</f>
        <v>8500000</v>
      </c>
      <c r="AA34" s="280">
        <f>SUM(AA29:AA33)</f>
        <v>850000</v>
      </c>
      <c r="AB34" s="281">
        <f>SUM(AB29:AB33)</f>
        <v>0</v>
      </c>
      <c r="AC34" s="281">
        <f>SUM(AC29:AC33)</f>
        <v>447000</v>
      </c>
      <c r="AD34" s="281">
        <f>T34+V34+X34+Z34+AA34+AB34+AC34</f>
        <v>29837005</v>
      </c>
      <c r="AE34" s="280">
        <f>R34+AD34</f>
        <v>31277185</v>
      </c>
      <c r="AF34" s="292"/>
    </row>
    <row r="35" spans="1:32" s="293" customFormat="1" ht="96.75" customHeight="1">
      <c r="A35" s="1643" t="s">
        <v>346</v>
      </c>
      <c r="B35" s="1643"/>
      <c r="C35" s="1643"/>
      <c r="D35" s="1643"/>
      <c r="E35" s="1643"/>
      <c r="F35" s="1643"/>
      <c r="G35" s="1643"/>
      <c r="H35" s="1643"/>
      <c r="I35" s="1643"/>
      <c r="J35" s="1643"/>
      <c r="K35" s="1643"/>
      <c r="L35" s="1643"/>
      <c r="M35" s="1643"/>
      <c r="N35" s="1643"/>
      <c r="O35" s="1643"/>
      <c r="P35" s="1643"/>
      <c r="Q35" s="1643"/>
      <c r="R35" s="1643"/>
      <c r="S35" s="1643"/>
      <c r="T35" s="1643"/>
      <c r="U35" s="1643"/>
      <c r="V35" s="1643"/>
      <c r="W35" s="1643"/>
      <c r="X35" s="1643"/>
      <c r="Y35" s="1643"/>
      <c r="Z35" s="1643"/>
      <c r="AA35" s="1643"/>
      <c r="AB35" s="1643"/>
      <c r="AC35" s="1643"/>
      <c r="AD35" s="1643"/>
      <c r="AE35" s="1643"/>
      <c r="AF35" s="292"/>
    </row>
    <row r="36" spans="1:32" s="339" customFormat="1" ht="409.5" customHeight="1">
      <c r="A36" s="327">
        <v>56</v>
      </c>
      <c r="B36" s="328">
        <v>1</v>
      </c>
      <c r="C36" s="329" t="s">
        <v>301</v>
      </c>
      <c r="D36" s="330" t="s">
        <v>347</v>
      </c>
      <c r="E36" s="331" t="s">
        <v>338</v>
      </c>
      <c r="F36" s="332">
        <v>14</v>
      </c>
      <c r="G36" s="295">
        <v>10</v>
      </c>
      <c r="H36" s="332"/>
      <c r="I36" s="333">
        <v>9000</v>
      </c>
      <c r="J36" s="334">
        <f>I36*F36*(G36+H36)</f>
        <v>1260000</v>
      </c>
      <c r="K36" s="273">
        <v>8002</v>
      </c>
      <c r="L36" s="335">
        <f>K36*F36*G36</f>
        <v>1120280</v>
      </c>
      <c r="M36" s="273">
        <v>6402</v>
      </c>
      <c r="N36" s="336">
        <f>M36*H36*F36</f>
        <v>0</v>
      </c>
      <c r="O36" s="336">
        <v>10000</v>
      </c>
      <c r="P36" s="336">
        <f>O36*H36*2</f>
        <v>0</v>
      </c>
      <c r="Q36" s="336">
        <v>0</v>
      </c>
      <c r="R36" s="411">
        <f>P36+Q36+N36+L36+J36</f>
        <v>2380280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8"/>
      <c r="AE36" s="301">
        <f>R36+AD36</f>
        <v>2380280</v>
      </c>
    </row>
    <row r="37" spans="1:32" s="339" customFormat="1" ht="231" customHeight="1">
      <c r="A37" s="340">
        <v>57</v>
      </c>
      <c r="B37" s="294">
        <v>2</v>
      </c>
      <c r="C37" s="341" t="s">
        <v>301</v>
      </c>
      <c r="D37" s="331" t="s">
        <v>305</v>
      </c>
      <c r="E37" s="331" t="s">
        <v>348</v>
      </c>
      <c r="F37" s="342">
        <v>13</v>
      </c>
      <c r="G37" s="295">
        <v>10</v>
      </c>
      <c r="H37" s="332"/>
      <c r="I37" s="333"/>
      <c r="J37" s="334"/>
      <c r="K37" s="333"/>
      <c r="L37" s="335"/>
      <c r="M37" s="336"/>
      <c r="N37" s="336"/>
      <c r="O37" s="336"/>
      <c r="P37" s="336"/>
      <c r="Q37" s="336"/>
      <c r="R37" s="411"/>
      <c r="S37" s="286">
        <f>150*580</f>
        <v>87000</v>
      </c>
      <c r="T37" s="343">
        <f>S37*F37*(G37+H37)</f>
        <v>11310000</v>
      </c>
      <c r="U37" s="344">
        <v>10000</v>
      </c>
      <c r="V37" s="343">
        <f>U37*F37*(G37+H37)</f>
        <v>1300000</v>
      </c>
      <c r="W37" s="344">
        <v>14000</v>
      </c>
      <c r="X37" s="343">
        <f>W37*(G37+H37)</f>
        <v>140000</v>
      </c>
      <c r="Y37" s="344">
        <v>300000</v>
      </c>
      <c r="Z37" s="335">
        <f>Y37*(G37+H37)</f>
        <v>3000000</v>
      </c>
      <c r="AA37" s="344">
        <f>12*50000</f>
        <v>600000</v>
      </c>
      <c r="AB37" s="344"/>
      <c r="AC37" s="344"/>
      <c r="AD37" s="301">
        <f>T37+V37+X37+Z37+AA37+AB37+AC37</f>
        <v>16350000</v>
      </c>
      <c r="AE37" s="301">
        <f t="shared" ref="AE37:AE44" si="3">AD37+R37</f>
        <v>16350000</v>
      </c>
    </row>
    <row r="38" spans="1:32" s="339" customFormat="1" ht="408" customHeight="1">
      <c r="A38" s="327">
        <v>58</v>
      </c>
      <c r="B38" s="328">
        <v>3</v>
      </c>
      <c r="C38" s="341" t="s">
        <v>349</v>
      </c>
      <c r="D38" s="299" t="s">
        <v>318</v>
      </c>
      <c r="E38" s="331" t="s">
        <v>338</v>
      </c>
      <c r="F38" s="342">
        <v>14</v>
      </c>
      <c r="G38" s="295">
        <v>10</v>
      </c>
      <c r="H38" s="332"/>
      <c r="I38" s="333">
        <v>9000</v>
      </c>
      <c r="J38" s="334">
        <f>I38*F38*(G38+H38)</f>
        <v>1260000</v>
      </c>
      <c r="K38" s="273">
        <v>8002</v>
      </c>
      <c r="L38" s="335">
        <f>K38*F38*G38</f>
        <v>1120280</v>
      </c>
      <c r="M38" s="273">
        <v>6402</v>
      </c>
      <c r="N38" s="336">
        <f>M38*H38*F38</f>
        <v>0</v>
      </c>
      <c r="O38" s="336">
        <v>10000</v>
      </c>
      <c r="P38" s="336">
        <f>O38*H38*2</f>
        <v>0</v>
      </c>
      <c r="Q38" s="336">
        <v>0</v>
      </c>
      <c r="R38" s="411">
        <f>P38+Q38+N38+L38+J38</f>
        <v>2380280</v>
      </c>
      <c r="S38" s="344"/>
      <c r="T38" s="343"/>
      <c r="U38" s="344"/>
      <c r="V38" s="343"/>
      <c r="W38" s="344"/>
      <c r="X38" s="343"/>
      <c r="Y38" s="344"/>
      <c r="Z38" s="335"/>
      <c r="AA38" s="344"/>
      <c r="AB38" s="344"/>
      <c r="AC38" s="344"/>
      <c r="AD38" s="301"/>
      <c r="AE38" s="301">
        <f t="shared" si="3"/>
        <v>2380280</v>
      </c>
    </row>
    <row r="39" spans="1:32" s="339" customFormat="1" ht="407.25" customHeight="1">
      <c r="A39" s="340">
        <v>59</v>
      </c>
      <c r="B39" s="294">
        <v>4</v>
      </c>
      <c r="C39" s="341" t="s">
        <v>350</v>
      </c>
      <c r="D39" s="299" t="s">
        <v>351</v>
      </c>
      <c r="E39" s="331" t="s">
        <v>338</v>
      </c>
      <c r="F39" s="342">
        <v>14</v>
      </c>
      <c r="G39" s="295">
        <v>5</v>
      </c>
      <c r="H39" s="332"/>
      <c r="I39" s="333">
        <v>9000</v>
      </c>
      <c r="J39" s="334">
        <f>I39*F39*(G39+H39)</f>
        <v>630000</v>
      </c>
      <c r="K39" s="273">
        <v>8002</v>
      </c>
      <c r="L39" s="335">
        <f>K39*F39*G39</f>
        <v>560140</v>
      </c>
      <c r="M39" s="273">
        <v>6402</v>
      </c>
      <c r="N39" s="336">
        <f>M39*H39*F39</f>
        <v>0</v>
      </c>
      <c r="O39" s="336">
        <v>10000</v>
      </c>
      <c r="P39" s="336">
        <f>O39*H39*2</f>
        <v>0</v>
      </c>
      <c r="Q39" s="336">
        <v>0</v>
      </c>
      <c r="R39" s="411">
        <f>P39+Q39+N39+L39+J39</f>
        <v>1190140</v>
      </c>
      <c r="S39" s="344"/>
      <c r="T39" s="343"/>
      <c r="U39" s="344"/>
      <c r="V39" s="343"/>
      <c r="W39" s="344"/>
      <c r="X39" s="343"/>
      <c r="Y39" s="344"/>
      <c r="Z39" s="335"/>
      <c r="AA39" s="344"/>
      <c r="AB39" s="344"/>
      <c r="AC39" s="344"/>
      <c r="AD39" s="301"/>
      <c r="AE39" s="301">
        <f t="shared" si="3"/>
        <v>1190140</v>
      </c>
    </row>
    <row r="40" spans="1:32" s="339" customFormat="1" ht="96.75" customHeight="1">
      <c r="A40" s="327">
        <v>60</v>
      </c>
      <c r="B40" s="328">
        <v>5</v>
      </c>
      <c r="C40" s="345" t="s">
        <v>309</v>
      </c>
      <c r="D40" s="346" t="s">
        <v>310</v>
      </c>
      <c r="E40" s="360" t="s">
        <v>352</v>
      </c>
      <c r="F40" s="347">
        <v>6</v>
      </c>
      <c r="G40" s="295">
        <v>5</v>
      </c>
      <c r="H40" s="348"/>
      <c r="I40" s="349"/>
      <c r="J40" s="350"/>
      <c r="K40" s="349"/>
      <c r="L40" s="351"/>
      <c r="M40" s="352"/>
      <c r="N40" s="352"/>
      <c r="O40" s="352"/>
      <c r="P40" s="352"/>
      <c r="Q40" s="352"/>
      <c r="R40" s="412"/>
      <c r="S40" s="354">
        <v>50000</v>
      </c>
      <c r="T40" s="353">
        <f>S40*F40*(G40+H40)</f>
        <v>1500000</v>
      </c>
      <c r="U40" s="354">
        <v>30000</v>
      </c>
      <c r="V40" s="353">
        <f>U40*F40*(G40+H40)</f>
        <v>900000</v>
      </c>
      <c r="W40" s="354">
        <v>14000</v>
      </c>
      <c r="X40" s="353">
        <f>W40*(G40+H40)</f>
        <v>70000</v>
      </c>
      <c r="Y40" s="354">
        <v>500000</v>
      </c>
      <c r="Z40" s="351">
        <f>Y40*(G40+H40)</f>
        <v>2500000</v>
      </c>
      <c r="AA40" s="354">
        <v>350000</v>
      </c>
      <c r="AB40" s="354"/>
      <c r="AC40" s="354"/>
      <c r="AD40" s="355">
        <f>T40+V40+X40+Z40+AA40+AB40+AC40</f>
        <v>5320000</v>
      </c>
      <c r="AE40" s="355">
        <f t="shared" si="3"/>
        <v>5320000</v>
      </c>
    </row>
    <row r="41" spans="1:32" s="322" customFormat="1" ht="409.5">
      <c r="A41" s="340">
        <v>61</v>
      </c>
      <c r="B41" s="294">
        <v>6</v>
      </c>
      <c r="C41" s="305" t="s">
        <v>301</v>
      </c>
      <c r="D41" s="306" t="s">
        <v>347</v>
      </c>
      <c r="E41" s="306" t="s">
        <v>319</v>
      </c>
      <c r="F41" s="316">
        <v>18</v>
      </c>
      <c r="G41" s="295">
        <v>5</v>
      </c>
      <c r="H41" s="357"/>
      <c r="I41" s="307">
        <v>9000</v>
      </c>
      <c r="J41" s="276">
        <f>I41*F41*(G41+H41)</f>
        <v>810000</v>
      </c>
      <c r="K41" s="307">
        <v>9189</v>
      </c>
      <c r="L41" s="319">
        <f>K41*F41*G41</f>
        <v>827010</v>
      </c>
      <c r="M41" s="309">
        <v>6126</v>
      </c>
      <c r="N41" s="309">
        <f>M41*H41*F41</f>
        <v>0</v>
      </c>
      <c r="O41" s="309">
        <v>10000</v>
      </c>
      <c r="P41" s="309">
        <f>O41*H41*2</f>
        <v>0</v>
      </c>
      <c r="Q41" s="319">
        <v>0</v>
      </c>
      <c r="R41" s="410">
        <f>P41+Q41+N41+L41+J41</f>
        <v>1637010</v>
      </c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58">
        <f>T41+V41+X41+Z41+AA41+AB41+AC41</f>
        <v>0</v>
      </c>
      <c r="AE41" s="361">
        <f t="shared" si="3"/>
        <v>1637010</v>
      </c>
    </row>
    <row r="42" spans="1:32" s="322" customFormat="1" ht="409.5">
      <c r="A42" s="327">
        <v>62</v>
      </c>
      <c r="B42" s="328">
        <v>7</v>
      </c>
      <c r="C42" s="305" t="s">
        <v>301</v>
      </c>
      <c r="D42" s="306" t="s">
        <v>318</v>
      </c>
      <c r="E42" s="306" t="s">
        <v>319</v>
      </c>
      <c r="F42" s="316">
        <v>10</v>
      </c>
      <c r="G42" s="295">
        <v>5</v>
      </c>
      <c r="H42" s="357"/>
      <c r="I42" s="307">
        <v>9000</v>
      </c>
      <c r="J42" s="276">
        <f>I42*F42*(G42+H42)</f>
        <v>450000</v>
      </c>
      <c r="K42" s="307">
        <v>9189</v>
      </c>
      <c r="L42" s="319">
        <f>K42*F42*G42</f>
        <v>459450</v>
      </c>
      <c r="M42" s="309">
        <v>6126</v>
      </c>
      <c r="N42" s="309">
        <f>M42*H42*F42</f>
        <v>0</v>
      </c>
      <c r="O42" s="309">
        <v>10000</v>
      </c>
      <c r="P42" s="309">
        <f>O42*H42*2</f>
        <v>0</v>
      </c>
      <c r="Q42" s="319">
        <v>0</v>
      </c>
      <c r="R42" s="410">
        <f>P42+Q42+N42+L42+J42</f>
        <v>909450</v>
      </c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24">
        <v>0</v>
      </c>
      <c r="AE42" s="361">
        <f t="shared" si="3"/>
        <v>909450</v>
      </c>
    </row>
    <row r="43" spans="1:32" s="322" customFormat="1" ht="409.5">
      <c r="A43" s="340">
        <v>63</v>
      </c>
      <c r="B43" s="294">
        <v>8</v>
      </c>
      <c r="C43" s="305" t="s">
        <v>301</v>
      </c>
      <c r="D43" s="306" t="s">
        <v>310</v>
      </c>
      <c r="E43" s="306" t="s">
        <v>319</v>
      </c>
      <c r="F43" s="356">
        <v>10</v>
      </c>
      <c r="G43" s="295">
        <v>5</v>
      </c>
      <c r="H43" s="299"/>
      <c r="I43" s="307">
        <v>9000</v>
      </c>
      <c r="J43" s="276">
        <f>I43*F43*(G43+H43)</f>
        <v>450000</v>
      </c>
      <c r="K43" s="307">
        <v>9189</v>
      </c>
      <c r="L43" s="319">
        <f>K43*F43*G43</f>
        <v>459450</v>
      </c>
      <c r="M43" s="309">
        <v>6126</v>
      </c>
      <c r="N43" s="309">
        <f>M43*H43*F43</f>
        <v>0</v>
      </c>
      <c r="O43" s="309">
        <v>10000</v>
      </c>
      <c r="P43" s="309">
        <f>O43*H43*2</f>
        <v>0</v>
      </c>
      <c r="Q43" s="319">
        <v>0</v>
      </c>
      <c r="R43" s="410">
        <f>P43+Q43+N43+L43+J43</f>
        <v>909450</v>
      </c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62"/>
      <c r="AD43" s="324">
        <v>0</v>
      </c>
      <c r="AE43" s="361">
        <f t="shared" si="3"/>
        <v>909450</v>
      </c>
    </row>
    <row r="44" spans="1:32" s="322" customFormat="1" ht="176.45" customHeight="1">
      <c r="A44" s="327">
        <v>64</v>
      </c>
      <c r="B44" s="328">
        <v>9</v>
      </c>
      <c r="C44" s="305" t="s">
        <v>334</v>
      </c>
      <c r="D44" s="306" t="s">
        <v>310</v>
      </c>
      <c r="E44" s="306" t="s">
        <v>353</v>
      </c>
      <c r="F44" s="356">
        <v>7</v>
      </c>
      <c r="G44" s="295">
        <v>5</v>
      </c>
      <c r="H44" s="299"/>
      <c r="I44" s="307">
        <v>0</v>
      </c>
      <c r="J44" s="276">
        <v>0</v>
      </c>
      <c r="K44" s="307">
        <v>0</v>
      </c>
      <c r="L44" s="319">
        <v>0</v>
      </c>
      <c r="M44" s="309">
        <v>0</v>
      </c>
      <c r="N44" s="309">
        <v>0</v>
      </c>
      <c r="O44" s="309">
        <v>0</v>
      </c>
      <c r="P44" s="309">
        <v>0</v>
      </c>
      <c r="Q44" s="319">
        <v>0</v>
      </c>
      <c r="R44" s="410">
        <v>0</v>
      </c>
      <c r="S44" s="307">
        <v>100000</v>
      </c>
      <c r="T44" s="307">
        <f>S44*F44*(G44+H44)</f>
        <v>3500000</v>
      </c>
      <c r="U44" s="307">
        <v>0</v>
      </c>
      <c r="V44" s="307">
        <f>U44*F44*(G44+H44)</f>
        <v>0</v>
      </c>
      <c r="W44" s="307">
        <v>25000</v>
      </c>
      <c r="X44" s="307">
        <f>W44*(G44+H44)</f>
        <v>125000</v>
      </c>
      <c r="Y44" s="307">
        <v>800000</v>
      </c>
      <c r="Z44" s="307">
        <f>Y44*(G44+H44)</f>
        <v>4000000</v>
      </c>
      <c r="AA44" s="307">
        <f>40000*(G44+H44)</f>
        <v>200000</v>
      </c>
      <c r="AB44" s="307">
        <v>0</v>
      </c>
      <c r="AC44" s="363">
        <f>15000*(G44+H44)+46000*G44</f>
        <v>305000</v>
      </c>
      <c r="AD44" s="358">
        <f>T44+V44+X44+Z44+AB44+AA44+AC44</f>
        <v>8130000</v>
      </c>
      <c r="AE44" s="361">
        <f t="shared" si="3"/>
        <v>8130000</v>
      </c>
      <c r="AF44" s="364"/>
    </row>
    <row r="45" spans="1:32" s="293" customFormat="1" ht="96.75" customHeight="1">
      <c r="A45" s="1644" t="s">
        <v>233</v>
      </c>
      <c r="B45" s="1644"/>
      <c r="C45" s="1644"/>
      <c r="D45" s="1644"/>
      <c r="E45" s="1644"/>
      <c r="F45" s="1644"/>
      <c r="G45" s="1644"/>
      <c r="H45" s="326"/>
      <c r="I45" s="281"/>
      <c r="J45" s="281">
        <f>SUM(J36:J44)</f>
        <v>4860000</v>
      </c>
      <c r="K45" s="281"/>
      <c r="L45" s="281">
        <f>SUM(L36:L44)</f>
        <v>4546610</v>
      </c>
      <c r="M45" s="281"/>
      <c r="N45" s="281">
        <f>SUM(N36:N44)</f>
        <v>0</v>
      </c>
      <c r="O45" s="280"/>
      <c r="P45" s="280">
        <f>SUM(P36:P44)</f>
        <v>0</v>
      </c>
      <c r="Q45" s="280">
        <f>SUM(Q36:Q44)</f>
        <v>0</v>
      </c>
      <c r="R45" s="280">
        <f>J45+L45+N45+P45+Q45</f>
        <v>9406610</v>
      </c>
      <c r="S45" s="280"/>
      <c r="T45" s="280">
        <f>SUM(T36:T44)</f>
        <v>16310000</v>
      </c>
      <c r="U45" s="280"/>
      <c r="V45" s="280">
        <f>SUM(V36:V44)</f>
        <v>2200000</v>
      </c>
      <c r="W45" s="280"/>
      <c r="X45" s="280">
        <f>SUM(X36:X44)</f>
        <v>335000</v>
      </c>
      <c r="Y45" s="280"/>
      <c r="Z45" s="280">
        <f>SUM(Z36:Z44)</f>
        <v>9500000</v>
      </c>
      <c r="AA45" s="280">
        <f>SUM(AA36:AA44)</f>
        <v>1150000</v>
      </c>
      <c r="AB45" s="281">
        <f>SUM(AB36:AB44)</f>
        <v>0</v>
      </c>
      <c r="AC45" s="281">
        <f>SUM(AC36:AC44)</f>
        <v>305000</v>
      </c>
      <c r="AD45" s="281">
        <f>T45+V45+X45+Z45+AA45+AB45+AC45</f>
        <v>29800000</v>
      </c>
      <c r="AE45" s="280">
        <f>R45+AD45</f>
        <v>39206610</v>
      </c>
      <c r="AF45" s="292"/>
    </row>
    <row r="46" spans="1:32" s="293" customFormat="1" ht="96.75" customHeight="1">
      <c r="A46" s="1643" t="s">
        <v>354</v>
      </c>
      <c r="B46" s="1643"/>
      <c r="C46" s="1643"/>
      <c r="D46" s="1643"/>
      <c r="E46" s="1643"/>
      <c r="F46" s="1643"/>
      <c r="G46" s="1643"/>
      <c r="H46" s="1643"/>
      <c r="I46" s="1643"/>
      <c r="J46" s="1643"/>
      <c r="K46" s="1643"/>
      <c r="L46" s="1643"/>
      <c r="M46" s="1643"/>
      <c r="N46" s="1643"/>
      <c r="O46" s="1643"/>
      <c r="P46" s="1643"/>
      <c r="Q46" s="1643"/>
      <c r="R46" s="1643"/>
      <c r="S46" s="1643"/>
      <c r="T46" s="1643"/>
      <c r="U46" s="1643"/>
      <c r="V46" s="1643"/>
      <c r="W46" s="1643"/>
      <c r="X46" s="1643"/>
      <c r="Y46" s="1643"/>
      <c r="Z46" s="1643"/>
      <c r="AA46" s="1643"/>
      <c r="AB46" s="1643"/>
      <c r="AC46" s="1643"/>
      <c r="AD46" s="1643"/>
      <c r="AE46" s="1643"/>
      <c r="AF46" s="292"/>
    </row>
    <row r="47" spans="1:32" s="267" customFormat="1" ht="409.5">
      <c r="A47" s="271">
        <v>65</v>
      </c>
      <c r="B47" s="284">
        <v>1</v>
      </c>
      <c r="C47" s="298" t="s">
        <v>355</v>
      </c>
      <c r="D47" s="299" t="s">
        <v>356</v>
      </c>
      <c r="E47" s="299" t="s">
        <v>357</v>
      </c>
      <c r="F47" s="300">
        <v>13</v>
      </c>
      <c r="G47" s="300">
        <v>5</v>
      </c>
      <c r="H47" s="301"/>
      <c r="I47" s="301">
        <v>7000</v>
      </c>
      <c r="J47" s="301">
        <f>I47*F47*(G47+H47)</f>
        <v>455000</v>
      </c>
      <c r="K47" s="273">
        <v>8002</v>
      </c>
      <c r="L47" s="301">
        <f>SUM(K47*F47*G47)</f>
        <v>520130</v>
      </c>
      <c r="M47" s="273">
        <v>6402</v>
      </c>
      <c r="N47" s="301">
        <f>M47*F47*H47</f>
        <v>0</v>
      </c>
      <c r="O47" s="302">
        <v>10000</v>
      </c>
      <c r="P47" s="302">
        <f>O47*(G47+H47)</f>
        <v>50000</v>
      </c>
      <c r="Q47" s="302"/>
      <c r="R47" s="409">
        <f>J47+L47+N47+P47+Q47</f>
        <v>1025130</v>
      </c>
      <c r="S47" s="300"/>
      <c r="T47" s="301"/>
      <c r="U47" s="300"/>
      <c r="V47" s="301"/>
      <c r="W47" s="302"/>
      <c r="X47" s="302"/>
      <c r="Y47" s="302"/>
      <c r="Z47" s="302"/>
      <c r="AA47" s="302"/>
      <c r="AB47" s="302"/>
      <c r="AC47" s="302"/>
      <c r="AD47" s="301"/>
      <c r="AE47" s="301">
        <f t="shared" ref="AE47:AE52" si="4">AD47+R47</f>
        <v>1025130</v>
      </c>
      <c r="AF47" s="266"/>
    </row>
    <row r="48" spans="1:32" s="314" customFormat="1" ht="409.5">
      <c r="A48" s="271">
        <v>66</v>
      </c>
      <c r="B48" s="294">
        <v>2</v>
      </c>
      <c r="C48" s="298" t="s">
        <v>307</v>
      </c>
      <c r="D48" s="299" t="s">
        <v>318</v>
      </c>
      <c r="E48" s="299" t="s">
        <v>358</v>
      </c>
      <c r="F48" s="300">
        <v>14</v>
      </c>
      <c r="G48" s="300">
        <v>5</v>
      </c>
      <c r="H48" s="301"/>
      <c r="I48" s="301">
        <v>7000</v>
      </c>
      <c r="J48" s="301">
        <f>I48*F48*(G48+H48)</f>
        <v>490000</v>
      </c>
      <c r="K48" s="273">
        <v>8002</v>
      </c>
      <c r="L48" s="301">
        <f>SUM(K48*F48*G48)</f>
        <v>560140</v>
      </c>
      <c r="M48" s="273">
        <v>6402</v>
      </c>
      <c r="N48" s="301">
        <f>M48*F48*H48</f>
        <v>0</v>
      </c>
      <c r="O48" s="302">
        <v>10000</v>
      </c>
      <c r="P48" s="302">
        <f>O48*(G48+H48)</f>
        <v>50000</v>
      </c>
      <c r="Q48" s="302"/>
      <c r="R48" s="409">
        <f>J48+L48+N48+P48+Q48</f>
        <v>1100140</v>
      </c>
      <c r="S48" s="300"/>
      <c r="T48" s="301"/>
      <c r="U48" s="300"/>
      <c r="V48" s="301"/>
      <c r="W48" s="302"/>
      <c r="X48" s="302"/>
      <c r="Y48" s="302"/>
      <c r="Z48" s="302"/>
      <c r="AA48" s="302"/>
      <c r="AB48" s="302"/>
      <c r="AC48" s="302"/>
      <c r="AD48" s="301"/>
      <c r="AE48" s="301">
        <f t="shared" si="4"/>
        <v>1100140</v>
      </c>
      <c r="AF48" s="313"/>
    </row>
    <row r="49" spans="1:32" s="314" customFormat="1" ht="133.5">
      <c r="A49" s="271">
        <v>67</v>
      </c>
      <c r="B49" s="284">
        <v>3</v>
      </c>
      <c r="C49" s="298" t="s">
        <v>309</v>
      </c>
      <c r="D49" s="299" t="s">
        <v>318</v>
      </c>
      <c r="E49" s="299" t="s">
        <v>329</v>
      </c>
      <c r="F49" s="300">
        <v>7</v>
      </c>
      <c r="G49" s="300">
        <v>5</v>
      </c>
      <c r="H49" s="301"/>
      <c r="I49" s="301"/>
      <c r="J49" s="301"/>
      <c r="K49" s="301"/>
      <c r="L49" s="301"/>
      <c r="M49" s="301"/>
      <c r="N49" s="301"/>
      <c r="O49" s="302"/>
      <c r="P49" s="302"/>
      <c r="Q49" s="302"/>
      <c r="R49" s="409">
        <f>J49+L49+N49+P49+Q49</f>
        <v>0</v>
      </c>
      <c r="S49" s="300">
        <v>40000</v>
      </c>
      <c r="T49" s="301">
        <f>S49*F49*(G49+H49)</f>
        <v>1400000</v>
      </c>
      <c r="U49" s="302">
        <v>38000</v>
      </c>
      <c r="V49" s="301">
        <f>U49*F49*(G49+H49)</f>
        <v>1330000</v>
      </c>
      <c r="W49" s="302">
        <v>1000</v>
      </c>
      <c r="X49" s="302">
        <f>W49*(G49+H49)*F49</f>
        <v>35000</v>
      </c>
      <c r="Y49" s="302">
        <v>500000</v>
      </c>
      <c r="Z49" s="302">
        <f>Y49*(G49+H49)</f>
        <v>2500000</v>
      </c>
      <c r="AA49" s="302">
        <v>130000</v>
      </c>
      <c r="AB49" s="302">
        <v>0</v>
      </c>
      <c r="AC49" s="302">
        <v>0</v>
      </c>
      <c r="AD49" s="301">
        <f>T49+V49+X49+Z49+AA49+AB49+AC49</f>
        <v>5395000</v>
      </c>
      <c r="AE49" s="301">
        <f t="shared" si="4"/>
        <v>5395000</v>
      </c>
      <c r="AF49" s="313"/>
    </row>
    <row r="50" spans="1:32" s="267" customFormat="1" ht="409.5">
      <c r="A50" s="271">
        <v>68</v>
      </c>
      <c r="B50" s="294">
        <v>4</v>
      </c>
      <c r="C50" s="298" t="s">
        <v>301</v>
      </c>
      <c r="D50" s="299" t="s">
        <v>359</v>
      </c>
      <c r="E50" s="299" t="s">
        <v>360</v>
      </c>
      <c r="F50" s="300">
        <v>12</v>
      </c>
      <c r="G50" s="300">
        <v>5</v>
      </c>
      <c r="H50" s="301"/>
      <c r="I50" s="301">
        <v>7000</v>
      </c>
      <c r="J50" s="301">
        <f>I50*F50*(G50+H50)</f>
        <v>420000</v>
      </c>
      <c r="K50" s="273">
        <v>8002</v>
      </c>
      <c r="L50" s="301">
        <f>SUM(K50*F50*G50)</f>
        <v>480120</v>
      </c>
      <c r="M50" s="273">
        <v>6402</v>
      </c>
      <c r="N50" s="301">
        <f>M50*F50*H50</f>
        <v>0</v>
      </c>
      <c r="O50" s="302">
        <v>10000</v>
      </c>
      <c r="P50" s="302">
        <f>O50*(G50+H50)</f>
        <v>50000</v>
      </c>
      <c r="Q50" s="302"/>
      <c r="R50" s="409">
        <f>J50+L50+N50+P50+Q50</f>
        <v>950120</v>
      </c>
      <c r="S50" s="300"/>
      <c r="T50" s="301"/>
      <c r="U50" s="300"/>
      <c r="V50" s="301"/>
      <c r="W50" s="302"/>
      <c r="X50" s="302"/>
      <c r="Y50" s="302"/>
      <c r="Z50" s="302"/>
      <c r="AA50" s="302"/>
      <c r="AB50" s="302"/>
      <c r="AC50" s="302"/>
      <c r="AD50" s="301"/>
      <c r="AE50" s="301">
        <f t="shared" si="4"/>
        <v>950120</v>
      </c>
      <c r="AF50" s="266"/>
    </row>
    <row r="51" spans="1:32" s="267" customFormat="1" ht="409.5">
      <c r="A51" s="271">
        <v>69</v>
      </c>
      <c r="B51" s="284">
        <v>5</v>
      </c>
      <c r="C51" s="298" t="s">
        <v>312</v>
      </c>
      <c r="D51" s="299" t="s">
        <v>361</v>
      </c>
      <c r="E51" s="299" t="s">
        <v>360</v>
      </c>
      <c r="F51" s="300">
        <v>12</v>
      </c>
      <c r="G51" s="300">
        <v>10</v>
      </c>
      <c r="H51" s="301"/>
      <c r="I51" s="301">
        <v>7000</v>
      </c>
      <c r="J51" s="301">
        <f>I51*F51*(G51+H51)</f>
        <v>840000</v>
      </c>
      <c r="K51" s="273">
        <v>8002</v>
      </c>
      <c r="L51" s="301">
        <f>SUM(K51*F51*G51)</f>
        <v>960240</v>
      </c>
      <c r="M51" s="273">
        <v>6402</v>
      </c>
      <c r="N51" s="301">
        <f>M51*F51*H51</f>
        <v>0</v>
      </c>
      <c r="O51" s="302">
        <v>10000</v>
      </c>
      <c r="P51" s="302">
        <f>O51*(G51+H51)</f>
        <v>100000</v>
      </c>
      <c r="Q51" s="302"/>
      <c r="R51" s="409">
        <f>J51+L51+N51+P51+Q51</f>
        <v>1900240</v>
      </c>
      <c r="S51" s="300"/>
      <c r="T51" s="301"/>
      <c r="U51" s="300"/>
      <c r="V51" s="301"/>
      <c r="W51" s="302"/>
      <c r="X51" s="302"/>
      <c r="Y51" s="302"/>
      <c r="Z51" s="302"/>
      <c r="AA51" s="302"/>
      <c r="AB51" s="302"/>
      <c r="AC51" s="302"/>
      <c r="AD51" s="301"/>
      <c r="AE51" s="301">
        <f t="shared" si="4"/>
        <v>1900240</v>
      </c>
      <c r="AF51" s="266"/>
    </row>
    <row r="52" spans="1:32" s="314" customFormat="1" ht="216" customHeight="1">
      <c r="A52" s="271">
        <v>70</v>
      </c>
      <c r="B52" s="294">
        <v>6</v>
      </c>
      <c r="C52" s="298" t="s">
        <v>315</v>
      </c>
      <c r="D52" s="299" t="s">
        <v>362</v>
      </c>
      <c r="E52" s="299" t="s">
        <v>363</v>
      </c>
      <c r="F52" s="300">
        <v>7</v>
      </c>
      <c r="G52" s="300">
        <v>10</v>
      </c>
      <c r="H52" s="301"/>
      <c r="I52" s="301"/>
      <c r="J52" s="301"/>
      <c r="K52" s="301"/>
      <c r="L52" s="301"/>
      <c r="M52" s="301"/>
      <c r="N52" s="301"/>
      <c r="O52" s="302"/>
      <c r="P52" s="302"/>
      <c r="Q52" s="302"/>
      <c r="R52" s="409"/>
      <c r="S52" s="300">
        <f>100*540</f>
        <v>54000</v>
      </c>
      <c r="T52" s="301">
        <f>S52*F52*(G52+H52)</f>
        <v>3780000</v>
      </c>
      <c r="U52" s="302">
        <v>38000</v>
      </c>
      <c r="V52" s="301">
        <f>U52*F52*(G52+H52)</f>
        <v>2660000</v>
      </c>
      <c r="W52" s="302">
        <v>1000</v>
      </c>
      <c r="X52" s="302">
        <f>W52*(G52+H52)*F52</f>
        <v>70000</v>
      </c>
      <c r="Y52" s="302">
        <v>800000</v>
      </c>
      <c r="Z52" s="302">
        <f>Y52*(G52+H52)</f>
        <v>8000000</v>
      </c>
      <c r="AA52" s="302">
        <v>130000</v>
      </c>
      <c r="AB52" s="302">
        <v>0</v>
      </c>
      <c r="AC52" s="302">
        <v>0</v>
      </c>
      <c r="AD52" s="301">
        <f>T52+V52+X52+Z52+AA52+AB52+AC52</f>
        <v>14640000</v>
      </c>
      <c r="AE52" s="301">
        <f t="shared" si="4"/>
        <v>14640000</v>
      </c>
      <c r="AF52" s="313"/>
    </row>
    <row r="53" spans="1:32" s="322" customFormat="1" ht="180.6" customHeight="1">
      <c r="A53" s="271">
        <v>71</v>
      </c>
      <c r="B53" s="284">
        <v>7</v>
      </c>
      <c r="C53" s="305" t="s">
        <v>364</v>
      </c>
      <c r="D53" s="306" t="s">
        <v>310</v>
      </c>
      <c r="E53" s="306" t="s">
        <v>365</v>
      </c>
      <c r="F53" s="316">
        <v>7</v>
      </c>
      <c r="G53" s="300">
        <v>10</v>
      </c>
      <c r="H53" s="357"/>
      <c r="I53" s="307"/>
      <c r="J53" s="276"/>
      <c r="K53" s="307"/>
      <c r="L53" s="319"/>
      <c r="M53" s="309"/>
      <c r="N53" s="309"/>
      <c r="O53" s="309"/>
      <c r="P53" s="309"/>
      <c r="Q53" s="309"/>
      <c r="R53" s="365">
        <v>0</v>
      </c>
      <c r="S53" s="323">
        <v>35000</v>
      </c>
      <c r="T53" s="307">
        <f>S53*F53*(G53+H53)</f>
        <v>2450000</v>
      </c>
      <c r="U53" s="323">
        <v>25000</v>
      </c>
      <c r="V53" s="307">
        <f>U53*F53*(G53+H53)</f>
        <v>1750000</v>
      </c>
      <c r="W53" s="323">
        <v>15000</v>
      </c>
      <c r="X53" s="307">
        <f>W53*(G53+H53)</f>
        <v>150000</v>
      </c>
      <c r="Y53" s="323">
        <v>400000</v>
      </c>
      <c r="Z53" s="307">
        <f>Y53*(G53+H53)</f>
        <v>4000000</v>
      </c>
      <c r="AA53" s="323">
        <f>40000*(G53+H53)</f>
        <v>400000</v>
      </c>
      <c r="AB53" s="323">
        <v>0</v>
      </c>
      <c r="AC53" s="323">
        <v>0</v>
      </c>
      <c r="AD53" s="365">
        <v>0</v>
      </c>
      <c r="AE53" s="361">
        <f>AA53+Z53+X53+V53+T53</f>
        <v>8750000</v>
      </c>
    </row>
    <row r="54" spans="1:32" s="322" customFormat="1" ht="180.6" customHeight="1">
      <c r="A54" s="271">
        <v>72</v>
      </c>
      <c r="B54" s="294">
        <v>8</v>
      </c>
      <c r="C54" s="366" t="s">
        <v>341</v>
      </c>
      <c r="D54" s="330" t="s">
        <v>318</v>
      </c>
      <c r="E54" s="306" t="s">
        <v>339</v>
      </c>
      <c r="F54" s="332">
        <v>7</v>
      </c>
      <c r="G54" s="300">
        <v>10</v>
      </c>
      <c r="H54" s="332"/>
      <c r="I54" s="307"/>
      <c r="J54" s="276"/>
      <c r="K54" s="307"/>
      <c r="L54" s="319"/>
      <c r="M54" s="309"/>
      <c r="N54" s="309"/>
      <c r="O54" s="309"/>
      <c r="P54" s="309"/>
      <c r="Q54" s="309"/>
      <c r="R54" s="365">
        <v>0</v>
      </c>
      <c r="S54" s="323">
        <v>25000</v>
      </c>
      <c r="T54" s="307">
        <f>S54*F54*(G54+H54)</f>
        <v>1750000</v>
      </c>
      <c r="U54" s="323">
        <v>20000</v>
      </c>
      <c r="V54" s="307">
        <f>U54*F54*(G54+H54)</f>
        <v>1400000</v>
      </c>
      <c r="W54" s="323">
        <v>15000</v>
      </c>
      <c r="X54" s="307">
        <f>W54*(G54+H54)</f>
        <v>150000</v>
      </c>
      <c r="Y54" s="323">
        <v>300000</v>
      </c>
      <c r="Z54" s="307">
        <f>Y54*(G54+H54)</f>
        <v>3000000</v>
      </c>
      <c r="AA54" s="323">
        <f>40000*(G54+H54)</f>
        <v>400000</v>
      </c>
      <c r="AB54" s="323">
        <v>0</v>
      </c>
      <c r="AC54" s="323">
        <v>0</v>
      </c>
      <c r="AD54" s="365">
        <v>0</v>
      </c>
      <c r="AE54" s="361">
        <f>AA54+Z54+X54+V54+T54</f>
        <v>6700000</v>
      </c>
    </row>
    <row r="55" spans="1:32" s="283" customFormat="1" ht="96.75" customHeight="1">
      <c r="A55" s="1644" t="s">
        <v>233</v>
      </c>
      <c r="B55" s="1644"/>
      <c r="C55" s="1644"/>
      <c r="D55" s="1644"/>
      <c r="E55" s="1644"/>
      <c r="F55" s="1644"/>
      <c r="G55" s="1644"/>
      <c r="H55" s="326"/>
      <c r="I55" s="281"/>
      <c r="J55" s="281">
        <f>SUM(J47:J54)</f>
        <v>2205000</v>
      </c>
      <c r="K55" s="281"/>
      <c r="L55" s="281">
        <f>SUM(L47:L54)</f>
        <v>2520630</v>
      </c>
      <c r="M55" s="281"/>
      <c r="N55" s="281">
        <f>SUM(N47:N54)</f>
        <v>0</v>
      </c>
      <c r="O55" s="280"/>
      <c r="P55" s="280">
        <f>SUM(P47:P54)</f>
        <v>250000</v>
      </c>
      <c r="Q55" s="280">
        <f>SUM(Q47:Q54)</f>
        <v>0</v>
      </c>
      <c r="R55" s="280">
        <f>J55+L55+N55+P55+Q55</f>
        <v>4975630</v>
      </c>
      <c r="S55" s="280"/>
      <c r="T55" s="280">
        <f>SUM(T47:T54)</f>
        <v>9380000</v>
      </c>
      <c r="U55" s="280"/>
      <c r="V55" s="280">
        <f>SUM(V47:V54)</f>
        <v>7140000</v>
      </c>
      <c r="W55" s="280"/>
      <c r="X55" s="280">
        <f>SUM(X47:X54)</f>
        <v>405000</v>
      </c>
      <c r="Y55" s="280"/>
      <c r="Z55" s="280">
        <f>SUM(Z47:Z54)</f>
        <v>17500000</v>
      </c>
      <c r="AA55" s="280">
        <f>SUM(AA47:AA54)</f>
        <v>1060000</v>
      </c>
      <c r="AB55" s="281">
        <f>SUM(AB47:AB54)</f>
        <v>0</v>
      </c>
      <c r="AC55" s="281">
        <f>SUM(AC47:AC54)</f>
        <v>0</v>
      </c>
      <c r="AD55" s="281">
        <f>T55+V55+X55+Z55+AA55+AB55+AC55</f>
        <v>35485000</v>
      </c>
      <c r="AE55" s="280">
        <f>R55+AD55</f>
        <v>40460630</v>
      </c>
      <c r="AF55" s="282"/>
    </row>
    <row r="56" spans="1:32" s="283" customFormat="1" ht="96.75" customHeight="1">
      <c r="A56" s="1643" t="s">
        <v>366</v>
      </c>
      <c r="B56" s="1643"/>
      <c r="C56" s="1643"/>
      <c r="D56" s="1643"/>
      <c r="E56" s="1643"/>
      <c r="F56" s="1643"/>
      <c r="G56" s="1643"/>
      <c r="H56" s="1643"/>
      <c r="I56" s="1643"/>
      <c r="J56" s="1643"/>
      <c r="K56" s="1643"/>
      <c r="L56" s="1643"/>
      <c r="M56" s="1643"/>
      <c r="N56" s="1643"/>
      <c r="O56" s="1643"/>
      <c r="P56" s="1643"/>
      <c r="Q56" s="1643"/>
      <c r="R56" s="1643"/>
      <c r="S56" s="1643"/>
      <c r="T56" s="1643"/>
      <c r="U56" s="1643"/>
      <c r="V56" s="1643"/>
      <c r="W56" s="1643"/>
      <c r="X56" s="1643"/>
      <c r="Y56" s="1643"/>
      <c r="Z56" s="1643"/>
      <c r="AA56" s="1643"/>
      <c r="AB56" s="1643"/>
      <c r="AC56" s="1643"/>
      <c r="AD56" s="1643"/>
      <c r="AE56" s="1643"/>
      <c r="AF56" s="282"/>
    </row>
    <row r="57" spans="1:32" s="267" customFormat="1" ht="409.5">
      <c r="A57" s="296">
        <v>73</v>
      </c>
      <c r="B57" s="315">
        <v>1</v>
      </c>
      <c r="C57" s="298" t="s">
        <v>367</v>
      </c>
      <c r="D57" s="299" t="s">
        <v>368</v>
      </c>
      <c r="E57" s="299" t="s">
        <v>369</v>
      </c>
      <c r="F57" s="300">
        <v>18</v>
      </c>
      <c r="G57" s="300">
        <v>10</v>
      </c>
      <c r="H57" s="301"/>
      <c r="I57" s="301">
        <v>7000</v>
      </c>
      <c r="J57" s="301">
        <f>I57*F57*(G57+H57)</f>
        <v>1260000</v>
      </c>
      <c r="K57" s="301">
        <v>7658</v>
      </c>
      <c r="L57" s="301">
        <f>SUM(K57*F57*G57)</f>
        <v>1378440</v>
      </c>
      <c r="M57" s="273">
        <v>6402</v>
      </c>
      <c r="N57" s="301">
        <f>M57*F57*H57</f>
        <v>0</v>
      </c>
      <c r="O57" s="302">
        <v>10000</v>
      </c>
      <c r="P57" s="302">
        <f>O57*(G57+H57)</f>
        <v>100000</v>
      </c>
      <c r="Q57" s="302"/>
      <c r="R57" s="409">
        <f t="shared" ref="R57:R62" si="5">J57+L57+N57+P57+Q57</f>
        <v>2738440</v>
      </c>
      <c r="S57" s="300"/>
      <c r="T57" s="301"/>
      <c r="U57" s="300"/>
      <c r="V57" s="301"/>
      <c r="W57" s="302"/>
      <c r="X57" s="302"/>
      <c r="Y57" s="302"/>
      <c r="Z57" s="302"/>
      <c r="AA57" s="302"/>
      <c r="AB57" s="302"/>
      <c r="AC57" s="302"/>
      <c r="AD57" s="301"/>
      <c r="AE57" s="301">
        <f t="shared" ref="AE57:AE62" si="6">AD57+R57</f>
        <v>2738440</v>
      </c>
      <c r="AF57" s="266"/>
    </row>
    <row r="58" spans="1:32" s="267" customFormat="1" ht="409.5">
      <c r="A58" s="296">
        <v>74</v>
      </c>
      <c r="B58" s="315">
        <v>2</v>
      </c>
      <c r="C58" s="298" t="s">
        <v>370</v>
      </c>
      <c r="D58" s="299" t="s">
        <v>371</v>
      </c>
      <c r="E58" s="299" t="s">
        <v>369</v>
      </c>
      <c r="F58" s="300">
        <v>16</v>
      </c>
      <c r="G58" s="300">
        <v>10</v>
      </c>
      <c r="H58" s="301"/>
      <c r="I58" s="301">
        <v>7000</v>
      </c>
      <c r="J58" s="301">
        <f>I58*F58*(G58+H58)</f>
        <v>1120000</v>
      </c>
      <c r="K58" s="301">
        <v>7658</v>
      </c>
      <c r="L58" s="301">
        <f>SUM(K58*F58*G58)</f>
        <v>1225280</v>
      </c>
      <c r="M58" s="273">
        <v>6402</v>
      </c>
      <c r="N58" s="301">
        <f>M58*F58*H58</f>
        <v>0</v>
      </c>
      <c r="O58" s="302">
        <v>10000</v>
      </c>
      <c r="P58" s="302">
        <f>O58*(G58+H58)</f>
        <v>100000</v>
      </c>
      <c r="Q58" s="302"/>
      <c r="R58" s="409">
        <f t="shared" si="5"/>
        <v>2445280</v>
      </c>
      <c r="S58" s="300"/>
      <c r="T58" s="301"/>
      <c r="U58" s="300"/>
      <c r="V58" s="301"/>
      <c r="W58" s="302"/>
      <c r="X58" s="302"/>
      <c r="Y58" s="302"/>
      <c r="Z58" s="302"/>
      <c r="AA58" s="302"/>
      <c r="AB58" s="302"/>
      <c r="AC58" s="302"/>
      <c r="AD58" s="301"/>
      <c r="AE58" s="301">
        <f t="shared" si="6"/>
        <v>2445280</v>
      </c>
      <c r="AF58" s="266"/>
    </row>
    <row r="59" spans="1:32" s="267" customFormat="1" ht="133.5">
      <c r="A59" s="296">
        <v>75</v>
      </c>
      <c r="B59" s="315">
        <v>3</v>
      </c>
      <c r="C59" s="298" t="s">
        <v>309</v>
      </c>
      <c r="D59" s="299" t="s">
        <v>310</v>
      </c>
      <c r="E59" s="299" t="s">
        <v>311</v>
      </c>
      <c r="F59" s="300">
        <v>7</v>
      </c>
      <c r="G59" s="300">
        <v>5</v>
      </c>
      <c r="H59" s="301"/>
      <c r="I59" s="301"/>
      <c r="J59" s="301"/>
      <c r="K59" s="301"/>
      <c r="L59" s="301"/>
      <c r="M59" s="301"/>
      <c r="N59" s="301"/>
      <c r="O59" s="302"/>
      <c r="P59" s="302"/>
      <c r="Q59" s="302"/>
      <c r="R59" s="409">
        <f t="shared" si="5"/>
        <v>0</v>
      </c>
      <c r="S59" s="300">
        <v>40000</v>
      </c>
      <c r="T59" s="301">
        <f>S59*F59*(G59+H59)</f>
        <v>1400000</v>
      </c>
      <c r="U59" s="302">
        <v>40000</v>
      </c>
      <c r="V59" s="301">
        <f>U59*F59*(G59+H59)</f>
        <v>1400000</v>
      </c>
      <c r="W59" s="302">
        <v>1000</v>
      </c>
      <c r="X59" s="302">
        <f>W59*(G59+H59)*F59</f>
        <v>35000</v>
      </c>
      <c r="Y59" s="302">
        <v>400000</v>
      </c>
      <c r="Z59" s="302">
        <f>Y59*(G59+H59)</f>
        <v>2000000</v>
      </c>
      <c r="AA59" s="302">
        <v>110000</v>
      </c>
      <c r="AB59" s="302">
        <v>0</v>
      </c>
      <c r="AC59" s="302">
        <v>0</v>
      </c>
      <c r="AD59" s="301">
        <f>T59+V59+X59+Z59+AA59+AB59+AC59</f>
        <v>4945000</v>
      </c>
      <c r="AE59" s="301">
        <f t="shared" si="6"/>
        <v>4945000</v>
      </c>
      <c r="AF59" s="266"/>
    </row>
    <row r="60" spans="1:32" s="267" customFormat="1" ht="409.5">
      <c r="A60" s="296">
        <v>76</v>
      </c>
      <c r="B60" s="315">
        <v>4</v>
      </c>
      <c r="C60" s="298" t="s">
        <v>372</v>
      </c>
      <c r="D60" s="299" t="s">
        <v>310</v>
      </c>
      <c r="E60" s="299" t="s">
        <v>369</v>
      </c>
      <c r="F60" s="300">
        <v>18</v>
      </c>
      <c r="G60" s="300">
        <v>5</v>
      </c>
      <c r="H60" s="301"/>
      <c r="I60" s="301">
        <v>7000</v>
      </c>
      <c r="J60" s="301">
        <f>I60*F60*(G60+H60)</f>
        <v>630000</v>
      </c>
      <c r="K60" s="273">
        <v>8002</v>
      </c>
      <c r="L60" s="301">
        <f>SUM(K60*F60*G60)</f>
        <v>720180</v>
      </c>
      <c r="M60" s="273">
        <v>6402</v>
      </c>
      <c r="N60" s="301">
        <f>M60*F60*H60</f>
        <v>0</v>
      </c>
      <c r="O60" s="302">
        <v>10000</v>
      </c>
      <c r="P60" s="302">
        <f>O60*(G60+H60)</f>
        <v>50000</v>
      </c>
      <c r="Q60" s="302"/>
      <c r="R60" s="409">
        <f t="shared" si="5"/>
        <v>1400180</v>
      </c>
      <c r="S60" s="300"/>
      <c r="T60" s="301"/>
      <c r="U60" s="300"/>
      <c r="V60" s="301"/>
      <c r="W60" s="302"/>
      <c r="X60" s="302"/>
      <c r="Y60" s="302"/>
      <c r="Z60" s="302"/>
      <c r="AA60" s="302"/>
      <c r="AB60" s="302"/>
      <c r="AC60" s="302"/>
      <c r="AD60" s="301"/>
      <c r="AE60" s="301">
        <f t="shared" si="6"/>
        <v>1400180</v>
      </c>
      <c r="AF60" s="266"/>
    </row>
    <row r="61" spans="1:32" s="267" customFormat="1" ht="409.5">
      <c r="A61" s="296">
        <v>77</v>
      </c>
      <c r="B61" s="315">
        <v>5</v>
      </c>
      <c r="C61" s="298" t="s">
        <v>373</v>
      </c>
      <c r="D61" s="299" t="s">
        <v>361</v>
      </c>
      <c r="E61" s="299" t="s">
        <v>369</v>
      </c>
      <c r="F61" s="300">
        <v>18</v>
      </c>
      <c r="G61" s="300">
        <v>5</v>
      </c>
      <c r="H61" s="301"/>
      <c r="I61" s="301">
        <v>7000</v>
      </c>
      <c r="J61" s="301">
        <f>I61*F61*(G61+H61)</f>
        <v>630000</v>
      </c>
      <c r="K61" s="273">
        <v>8002</v>
      </c>
      <c r="L61" s="301">
        <f>SUM(K61*F61*G61)</f>
        <v>720180</v>
      </c>
      <c r="M61" s="273">
        <v>6402</v>
      </c>
      <c r="N61" s="301">
        <f>M61*F61*H61</f>
        <v>0</v>
      </c>
      <c r="O61" s="302">
        <v>10000</v>
      </c>
      <c r="P61" s="302">
        <f>O61*(G61+H61)</f>
        <v>50000</v>
      </c>
      <c r="Q61" s="302"/>
      <c r="R61" s="409">
        <f t="shared" si="5"/>
        <v>1400180</v>
      </c>
      <c r="S61" s="300"/>
      <c r="T61" s="301"/>
      <c r="U61" s="300"/>
      <c r="V61" s="301"/>
      <c r="W61" s="302"/>
      <c r="X61" s="302"/>
      <c r="Y61" s="302"/>
      <c r="Z61" s="302"/>
      <c r="AA61" s="302"/>
      <c r="AB61" s="302"/>
      <c r="AC61" s="302"/>
      <c r="AD61" s="301"/>
      <c r="AE61" s="301">
        <f t="shared" si="6"/>
        <v>1400180</v>
      </c>
      <c r="AF61" s="266"/>
    </row>
    <row r="62" spans="1:32" s="267" customFormat="1" ht="133.5">
      <c r="A62" s="296">
        <v>78</v>
      </c>
      <c r="B62" s="315">
        <v>6</v>
      </c>
      <c r="C62" s="298" t="s">
        <v>315</v>
      </c>
      <c r="D62" s="299" t="s">
        <v>374</v>
      </c>
      <c r="E62" s="299" t="s">
        <v>317</v>
      </c>
      <c r="F62" s="300">
        <v>7</v>
      </c>
      <c r="G62" s="300">
        <v>5</v>
      </c>
      <c r="H62" s="301"/>
      <c r="I62" s="301"/>
      <c r="J62" s="301"/>
      <c r="K62" s="301"/>
      <c r="L62" s="301"/>
      <c r="M62" s="301"/>
      <c r="N62" s="301"/>
      <c r="O62" s="302"/>
      <c r="P62" s="302"/>
      <c r="Q62" s="302"/>
      <c r="R62" s="409">
        <f t="shared" si="5"/>
        <v>0</v>
      </c>
      <c r="S62" s="300">
        <v>40000</v>
      </c>
      <c r="T62" s="301">
        <f>S62*F62*(G62+H62)</f>
        <v>1400000</v>
      </c>
      <c r="U62" s="302">
        <v>40000</v>
      </c>
      <c r="V62" s="301">
        <f>U62*F62*(G62+H62)</f>
        <v>1400000</v>
      </c>
      <c r="W62" s="302">
        <v>1500</v>
      </c>
      <c r="X62" s="302">
        <f>W62*(G62+H62)*F62</f>
        <v>52500</v>
      </c>
      <c r="Y62" s="302">
        <v>400000</v>
      </c>
      <c r="Z62" s="302">
        <f>Y62*(G62+H62)</f>
        <v>2000000</v>
      </c>
      <c r="AA62" s="302">
        <v>110000</v>
      </c>
      <c r="AB62" s="302">
        <v>0</v>
      </c>
      <c r="AC62" s="302">
        <v>0</v>
      </c>
      <c r="AD62" s="301">
        <f>T62+V62+X62+Z62+AA62+AB62+AC62</f>
        <v>4962500</v>
      </c>
      <c r="AE62" s="301">
        <f t="shared" si="6"/>
        <v>4962500</v>
      </c>
      <c r="AF62" s="266"/>
    </row>
    <row r="63" spans="1:32" s="322" customFormat="1" ht="267">
      <c r="A63" s="296">
        <v>79</v>
      </c>
      <c r="B63" s="315">
        <v>7</v>
      </c>
      <c r="C63" s="305" t="s">
        <v>375</v>
      </c>
      <c r="D63" s="306" t="s">
        <v>376</v>
      </c>
      <c r="E63" s="306" t="s">
        <v>377</v>
      </c>
      <c r="F63" s="316">
        <v>16</v>
      </c>
      <c r="G63" s="300">
        <v>5</v>
      </c>
      <c r="H63" s="357"/>
      <c r="I63" s="307">
        <v>9000</v>
      </c>
      <c r="J63" s="276">
        <f>I63*F63*(G63+H63)</f>
        <v>720000</v>
      </c>
      <c r="K63" s="307">
        <v>7658</v>
      </c>
      <c r="L63" s="319">
        <f>K63*F63*G63</f>
        <v>612640</v>
      </c>
      <c r="M63" s="309">
        <v>5834</v>
      </c>
      <c r="N63" s="309">
        <f>M63*H63*F63</f>
        <v>0</v>
      </c>
      <c r="O63" s="309">
        <v>10000</v>
      </c>
      <c r="P63" s="309">
        <f>O63*H63*2</f>
        <v>0</v>
      </c>
      <c r="Q63" s="309">
        <v>0</v>
      </c>
      <c r="R63" s="365">
        <f>P63+Q63+N63+L63+J63</f>
        <v>1332640</v>
      </c>
      <c r="S63" s="323"/>
      <c r="T63" s="307"/>
      <c r="U63" s="323"/>
      <c r="V63" s="307"/>
      <c r="W63" s="323"/>
      <c r="X63" s="307"/>
      <c r="Y63" s="323"/>
      <c r="Z63" s="307"/>
      <c r="AA63" s="323"/>
      <c r="AB63" s="323"/>
      <c r="AC63" s="323">
        <v>0</v>
      </c>
      <c r="AD63" s="309">
        <v>0</v>
      </c>
      <c r="AE63" s="361">
        <f>AD63+R63</f>
        <v>1332640</v>
      </c>
    </row>
    <row r="64" spans="1:32" s="322" customFormat="1" ht="177" customHeight="1">
      <c r="A64" s="296">
        <v>80</v>
      </c>
      <c r="B64" s="315">
        <v>8</v>
      </c>
      <c r="C64" s="366" t="s">
        <v>301</v>
      </c>
      <c r="D64" s="330" t="s">
        <v>378</v>
      </c>
      <c r="E64" s="306" t="s">
        <v>377</v>
      </c>
      <c r="F64" s="332">
        <v>18</v>
      </c>
      <c r="G64" s="300">
        <v>5</v>
      </c>
      <c r="H64" s="332"/>
      <c r="I64" s="307">
        <v>9000</v>
      </c>
      <c r="J64" s="276">
        <f>I64*F64*(G64+H64)</f>
        <v>810000</v>
      </c>
      <c r="K64" s="307">
        <v>7658</v>
      </c>
      <c r="L64" s="319">
        <f>K64*F64*G64</f>
        <v>689220</v>
      </c>
      <c r="M64" s="309">
        <v>5834</v>
      </c>
      <c r="N64" s="309">
        <f>M64*H64*F64</f>
        <v>0</v>
      </c>
      <c r="O64" s="309">
        <v>10000</v>
      </c>
      <c r="P64" s="309">
        <f>O64*H64*2</f>
        <v>0</v>
      </c>
      <c r="Q64" s="309">
        <v>0</v>
      </c>
      <c r="R64" s="365">
        <f>P64+Q64+N64+L64+J64</f>
        <v>1499220</v>
      </c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>
        <v>0</v>
      </c>
      <c r="AD64" s="309">
        <v>0</v>
      </c>
      <c r="AE64" s="361">
        <f>AD64+R64</f>
        <v>1499220</v>
      </c>
    </row>
    <row r="65" spans="1:32" s="322" customFormat="1" ht="177" customHeight="1">
      <c r="A65" s="296">
        <v>81</v>
      </c>
      <c r="B65" s="315">
        <v>9</v>
      </c>
      <c r="C65" s="305" t="s">
        <v>379</v>
      </c>
      <c r="D65" s="306" t="s">
        <v>380</v>
      </c>
      <c r="E65" s="306" t="s">
        <v>377</v>
      </c>
      <c r="F65" s="316">
        <v>16</v>
      </c>
      <c r="G65" s="300">
        <v>5</v>
      </c>
      <c r="H65" s="357"/>
      <c r="I65" s="307">
        <v>9000</v>
      </c>
      <c r="J65" s="276">
        <f>I65*F65*(G65+H65)</f>
        <v>720000</v>
      </c>
      <c r="K65" s="307">
        <v>7658</v>
      </c>
      <c r="L65" s="319">
        <f>K65*F65*G65</f>
        <v>612640</v>
      </c>
      <c r="M65" s="309">
        <v>5834</v>
      </c>
      <c r="N65" s="309">
        <f>M65*H65*F65</f>
        <v>0</v>
      </c>
      <c r="O65" s="309">
        <v>10000</v>
      </c>
      <c r="P65" s="309">
        <f>O65*H65*2</f>
        <v>0</v>
      </c>
      <c r="Q65" s="309">
        <v>0</v>
      </c>
      <c r="R65" s="365">
        <f>P65+Q65+N65+L65+J65</f>
        <v>1332640</v>
      </c>
      <c r="S65" s="323"/>
      <c r="T65" s="307"/>
      <c r="U65" s="323"/>
      <c r="V65" s="307"/>
      <c r="W65" s="323"/>
      <c r="X65" s="307"/>
      <c r="Y65" s="323"/>
      <c r="Z65" s="307"/>
      <c r="AA65" s="323"/>
      <c r="AB65" s="323"/>
      <c r="AC65" s="323">
        <v>0</v>
      </c>
      <c r="AD65" s="309">
        <v>0</v>
      </c>
      <c r="AE65" s="361">
        <f>AD65+R65</f>
        <v>1332640</v>
      </c>
    </row>
    <row r="66" spans="1:32" s="293" customFormat="1" ht="96.75" customHeight="1">
      <c r="A66" s="1644" t="s">
        <v>233</v>
      </c>
      <c r="B66" s="1644"/>
      <c r="C66" s="1644"/>
      <c r="D66" s="1644"/>
      <c r="E66" s="1644"/>
      <c r="F66" s="1644"/>
      <c r="G66" s="1644"/>
      <c r="H66" s="326"/>
      <c r="I66" s="281"/>
      <c r="J66" s="281">
        <f>SUM(J57:J65)</f>
        <v>5890000</v>
      </c>
      <c r="K66" s="281"/>
      <c r="L66" s="281">
        <f>SUM(L57:L65)</f>
        <v>5958580</v>
      </c>
      <c r="M66" s="281"/>
      <c r="N66" s="281">
        <f>SUM(N57:N65)</f>
        <v>0</v>
      </c>
      <c r="O66" s="280"/>
      <c r="P66" s="280">
        <f>SUM(P57:P65)</f>
        <v>300000</v>
      </c>
      <c r="Q66" s="280">
        <f>SUM(Q57:Q65)</f>
        <v>0</v>
      </c>
      <c r="R66" s="280">
        <f>J66+L66+N66+P66+Q66</f>
        <v>12148580</v>
      </c>
      <c r="S66" s="280"/>
      <c r="T66" s="280">
        <f>SUM(T57:T65)</f>
        <v>2800000</v>
      </c>
      <c r="U66" s="280"/>
      <c r="V66" s="280">
        <f>SUM(V57:V65)</f>
        <v>2800000</v>
      </c>
      <c r="W66" s="280"/>
      <c r="X66" s="280">
        <f>SUM(X57:X65)</f>
        <v>87500</v>
      </c>
      <c r="Y66" s="280"/>
      <c r="Z66" s="280">
        <f>SUM(Z57:Z65)</f>
        <v>4000000</v>
      </c>
      <c r="AA66" s="280">
        <f>SUM(AA57:AA65)</f>
        <v>220000</v>
      </c>
      <c r="AB66" s="281">
        <f>SUM(AB57:AB65)</f>
        <v>0</v>
      </c>
      <c r="AC66" s="281">
        <f>SUM(AC57:AC65)</f>
        <v>0</v>
      </c>
      <c r="AD66" s="281">
        <f>T66+V66+X66+Z66+AA66+AB66+AC66</f>
        <v>9907500</v>
      </c>
      <c r="AE66" s="280">
        <f>R66+AD66</f>
        <v>22056080</v>
      </c>
      <c r="AF66" s="292"/>
    </row>
    <row r="67" spans="1:32" s="283" customFormat="1" ht="96.75" customHeight="1">
      <c r="A67" s="1651" t="s">
        <v>381</v>
      </c>
      <c r="B67" s="1651"/>
      <c r="C67" s="1651"/>
      <c r="D67" s="1651"/>
      <c r="E67" s="1651"/>
      <c r="F67" s="1651"/>
      <c r="G67" s="1651"/>
      <c r="H67" s="1651"/>
      <c r="I67" s="1651"/>
      <c r="J67" s="1651"/>
      <c r="K67" s="1651"/>
      <c r="L67" s="1651"/>
      <c r="M67" s="1651"/>
      <c r="N67" s="1651"/>
      <c r="O67" s="1651"/>
      <c r="P67" s="1651"/>
      <c r="Q67" s="1651"/>
      <c r="R67" s="1651"/>
      <c r="S67" s="1651"/>
      <c r="T67" s="1651"/>
      <c r="U67" s="1651"/>
      <c r="V67" s="1651"/>
      <c r="W67" s="1651"/>
      <c r="X67" s="1651"/>
      <c r="Y67" s="1651"/>
      <c r="Z67" s="1651"/>
      <c r="AA67" s="1651"/>
      <c r="AB67" s="1651"/>
      <c r="AC67" s="1651"/>
      <c r="AD67" s="1651"/>
      <c r="AE67" s="1651"/>
      <c r="AF67" s="282"/>
    </row>
    <row r="68" spans="1:32" s="267" customFormat="1" ht="409.5">
      <c r="A68" s="367">
        <v>83</v>
      </c>
      <c r="B68" s="294">
        <v>2</v>
      </c>
      <c r="C68" s="298" t="s">
        <v>301</v>
      </c>
      <c r="D68" s="299" t="s">
        <v>337</v>
      </c>
      <c r="E68" s="299" t="s">
        <v>382</v>
      </c>
      <c r="F68" s="300">
        <v>16</v>
      </c>
      <c r="G68" s="300">
        <v>9</v>
      </c>
      <c r="H68" s="301"/>
      <c r="I68" s="301">
        <v>9000</v>
      </c>
      <c r="J68" s="301">
        <f>I68*F68*(G68+H68)</f>
        <v>1296000</v>
      </c>
      <c r="K68" s="273">
        <v>8002</v>
      </c>
      <c r="L68" s="301">
        <f>SUM(K68*F68*G68)</f>
        <v>1152288</v>
      </c>
      <c r="M68" s="273">
        <v>6402</v>
      </c>
      <c r="N68" s="301">
        <f>M68*F68*H68</f>
        <v>0</v>
      </c>
      <c r="O68" s="302">
        <v>10000</v>
      </c>
      <c r="P68" s="302"/>
      <c r="Q68" s="302"/>
      <c r="R68" s="409">
        <f>J68+L68+N68+P68+Q68</f>
        <v>2448288</v>
      </c>
      <c r="S68" s="300"/>
      <c r="T68" s="301"/>
      <c r="U68" s="300"/>
      <c r="V68" s="301"/>
      <c r="W68" s="302"/>
      <c r="X68" s="302"/>
      <c r="Y68" s="302"/>
      <c r="Z68" s="302"/>
      <c r="AA68" s="302"/>
      <c r="AB68" s="302"/>
      <c r="AC68" s="302"/>
      <c r="AD68" s="301"/>
      <c r="AE68" s="301">
        <f>AD68+R68</f>
        <v>2448288</v>
      </c>
      <c r="AF68" s="266"/>
    </row>
    <row r="69" spans="1:32" s="267" customFormat="1" ht="200.25">
      <c r="A69" s="367">
        <v>84</v>
      </c>
      <c r="B69" s="294">
        <v>3</v>
      </c>
      <c r="C69" s="298" t="s">
        <v>383</v>
      </c>
      <c r="D69" s="299" t="s">
        <v>384</v>
      </c>
      <c r="E69" s="299" t="s">
        <v>300</v>
      </c>
      <c r="F69" s="300">
        <v>10</v>
      </c>
      <c r="G69" s="300">
        <v>10</v>
      </c>
      <c r="H69" s="301"/>
      <c r="I69" s="301"/>
      <c r="J69" s="301"/>
      <c r="K69" s="301"/>
      <c r="L69" s="301"/>
      <c r="M69" s="301"/>
      <c r="N69" s="301"/>
      <c r="O69" s="302"/>
      <c r="P69" s="302"/>
      <c r="Q69" s="302"/>
      <c r="R69" s="409">
        <f>J69+L69+N69+P69+Q69</f>
        <v>0</v>
      </c>
      <c r="S69" s="300">
        <f>100*450</f>
        <v>45000</v>
      </c>
      <c r="T69" s="301">
        <f>S69*F69*(G69+H69)</f>
        <v>4500000</v>
      </c>
      <c r="U69" s="302">
        <f>80*450</f>
        <v>36000</v>
      </c>
      <c r="V69" s="301">
        <f>U69*F69*(G69+H69)</f>
        <v>3600000</v>
      </c>
      <c r="W69" s="302">
        <v>1500</v>
      </c>
      <c r="X69" s="302">
        <f>W69*(G69+H69)*F69</f>
        <v>150000</v>
      </c>
      <c r="Y69" s="302">
        <v>700000</v>
      </c>
      <c r="Z69" s="302">
        <f>Y69*(G69+H69)</f>
        <v>7000000</v>
      </c>
      <c r="AA69" s="302">
        <v>300000</v>
      </c>
      <c r="AB69" s="302">
        <v>50000</v>
      </c>
      <c r="AC69" s="302">
        <v>11000</v>
      </c>
      <c r="AD69" s="301">
        <f>T69+V69+X69+Z69+AA69+AB69+AC69</f>
        <v>15611000</v>
      </c>
      <c r="AE69" s="301">
        <f>AD69+R69</f>
        <v>15611000</v>
      </c>
      <c r="AF69" s="266"/>
    </row>
    <row r="70" spans="1:32" s="267" customFormat="1" ht="345.75" customHeight="1">
      <c r="A70" s="367">
        <v>85</v>
      </c>
      <c r="B70" s="294">
        <v>4</v>
      </c>
      <c r="C70" s="298" t="s">
        <v>385</v>
      </c>
      <c r="D70" s="299" t="s">
        <v>386</v>
      </c>
      <c r="E70" s="299" t="s">
        <v>387</v>
      </c>
      <c r="F70" s="300">
        <v>3</v>
      </c>
      <c r="G70" s="300">
        <v>10</v>
      </c>
      <c r="H70" s="301"/>
      <c r="I70" s="301">
        <v>9000</v>
      </c>
      <c r="J70" s="301">
        <f>I70*F70*(G70+H70)</f>
        <v>270000</v>
      </c>
      <c r="K70" s="273">
        <v>8002</v>
      </c>
      <c r="L70" s="301">
        <f>SUM(K70*F70*G70)</f>
        <v>240060</v>
      </c>
      <c r="M70" s="273">
        <v>6402</v>
      </c>
      <c r="N70" s="301">
        <f>M70*F70*H70</f>
        <v>0</v>
      </c>
      <c r="O70" s="302">
        <v>10000</v>
      </c>
      <c r="P70" s="302">
        <f>O70*H70</f>
        <v>0</v>
      </c>
      <c r="Q70" s="302"/>
      <c r="R70" s="409">
        <f>J70+L70+N70+P70+Q70</f>
        <v>510060</v>
      </c>
      <c r="S70" s="300"/>
      <c r="T70" s="301"/>
      <c r="U70" s="300"/>
      <c r="V70" s="301"/>
      <c r="W70" s="302"/>
      <c r="X70" s="302"/>
      <c r="Y70" s="302"/>
      <c r="Z70" s="302"/>
      <c r="AA70" s="302"/>
      <c r="AB70" s="302"/>
      <c r="AC70" s="302"/>
      <c r="AD70" s="301"/>
      <c r="AE70" s="301">
        <f>AD70+R70</f>
        <v>510060</v>
      </c>
      <c r="AF70" s="266"/>
    </row>
    <row r="71" spans="1:32" s="267" customFormat="1" ht="409.5">
      <c r="A71" s="367">
        <v>86</v>
      </c>
      <c r="B71" s="294">
        <v>5</v>
      </c>
      <c r="C71" s="298" t="s">
        <v>301</v>
      </c>
      <c r="D71" s="299" t="s">
        <v>386</v>
      </c>
      <c r="E71" s="299" t="s">
        <v>388</v>
      </c>
      <c r="F71" s="300">
        <v>16</v>
      </c>
      <c r="G71" s="300">
        <v>9</v>
      </c>
      <c r="H71" s="301"/>
      <c r="I71" s="301">
        <v>9000</v>
      </c>
      <c r="J71" s="301">
        <f>I71*F71*(G71+H71)</f>
        <v>1296000</v>
      </c>
      <c r="K71" s="273">
        <v>8002</v>
      </c>
      <c r="L71" s="301">
        <f>SUM(K71*F71*G71)</f>
        <v>1152288</v>
      </c>
      <c r="M71" s="273">
        <v>6402</v>
      </c>
      <c r="N71" s="301">
        <f>M71*F71*H71</f>
        <v>0</v>
      </c>
      <c r="O71" s="302">
        <v>10000</v>
      </c>
      <c r="P71" s="302"/>
      <c r="Q71" s="302"/>
      <c r="R71" s="409">
        <f>J71+L71+N71+P71+Q71</f>
        <v>2448288</v>
      </c>
      <c r="S71" s="300"/>
      <c r="T71" s="301"/>
      <c r="U71" s="300"/>
      <c r="V71" s="301"/>
      <c r="W71" s="302"/>
      <c r="X71" s="302"/>
      <c r="Y71" s="302"/>
      <c r="Z71" s="302"/>
      <c r="AA71" s="302"/>
      <c r="AB71" s="302"/>
      <c r="AC71" s="302"/>
      <c r="AD71" s="301"/>
      <c r="AE71" s="301">
        <f>AD71+R71</f>
        <v>2448288</v>
      </c>
      <c r="AF71" s="266"/>
    </row>
    <row r="72" spans="1:32" s="267" customFormat="1" ht="133.5">
      <c r="A72" s="367">
        <v>87</v>
      </c>
      <c r="B72" s="294">
        <v>6</v>
      </c>
      <c r="C72" s="298" t="s">
        <v>304</v>
      </c>
      <c r="D72" s="299" t="s">
        <v>386</v>
      </c>
      <c r="E72" s="299" t="s">
        <v>389</v>
      </c>
      <c r="F72" s="300">
        <v>7</v>
      </c>
      <c r="G72" s="300">
        <v>8</v>
      </c>
      <c r="H72" s="301"/>
      <c r="I72" s="301"/>
      <c r="J72" s="301"/>
      <c r="K72" s="301"/>
      <c r="L72" s="301"/>
      <c r="M72" s="301"/>
      <c r="N72" s="301"/>
      <c r="O72" s="302"/>
      <c r="P72" s="302"/>
      <c r="Q72" s="302"/>
      <c r="R72" s="409">
        <f>J72+L72+N72+P72+Q72</f>
        <v>0</v>
      </c>
      <c r="S72" s="300">
        <f>100*540</f>
        <v>54000</v>
      </c>
      <c r="T72" s="301">
        <f>S72*F72*(G72+H72)</f>
        <v>3024000</v>
      </c>
      <c r="U72" s="302">
        <f>80*540</f>
        <v>43200</v>
      </c>
      <c r="V72" s="301">
        <f>U72*F72*(G72+H72)</f>
        <v>2419200</v>
      </c>
      <c r="W72" s="302">
        <v>1500</v>
      </c>
      <c r="X72" s="302">
        <f>W72*(G72+H72)*F72</f>
        <v>84000</v>
      </c>
      <c r="Y72" s="302">
        <v>800000</v>
      </c>
      <c r="Z72" s="302">
        <f>Y72*(G72+H72)</f>
        <v>6400000</v>
      </c>
      <c r="AA72" s="302">
        <v>300000</v>
      </c>
      <c r="AB72" s="302">
        <v>50000</v>
      </c>
      <c r="AC72" s="302">
        <v>72000</v>
      </c>
      <c r="AD72" s="301">
        <f>T72+V72+X72+Z72+AA72+AB72+AC72</f>
        <v>12349200</v>
      </c>
      <c r="AE72" s="301">
        <f>AD72+R72</f>
        <v>12349200</v>
      </c>
      <c r="AF72" s="266"/>
    </row>
    <row r="73" spans="1:32" s="371" customFormat="1" ht="133.5">
      <c r="A73" s="367">
        <v>88</v>
      </c>
      <c r="B73" s="294">
        <v>7</v>
      </c>
      <c r="C73" s="368" t="s">
        <v>390</v>
      </c>
      <c r="D73" s="299" t="s">
        <v>371</v>
      </c>
      <c r="E73" s="299" t="s">
        <v>365</v>
      </c>
      <c r="F73" s="369">
        <v>8</v>
      </c>
      <c r="G73" s="369">
        <v>7</v>
      </c>
      <c r="H73" s="370"/>
      <c r="I73" s="370">
        <v>0</v>
      </c>
      <c r="J73" s="370">
        <v>0</v>
      </c>
      <c r="K73" s="370">
        <v>0</v>
      </c>
      <c r="L73" s="370">
        <v>0</v>
      </c>
      <c r="M73" s="370">
        <v>0</v>
      </c>
      <c r="N73" s="370">
        <v>0</v>
      </c>
      <c r="O73" s="302">
        <v>0</v>
      </c>
      <c r="P73" s="302">
        <v>0</v>
      </c>
      <c r="Q73" s="302">
        <v>0</v>
      </c>
      <c r="R73" s="376">
        <v>0</v>
      </c>
      <c r="S73" s="369">
        <v>40000</v>
      </c>
      <c r="T73" s="370">
        <f>S73*F73*(G73+H73)</f>
        <v>2240000</v>
      </c>
      <c r="U73" s="369">
        <v>20000</v>
      </c>
      <c r="V73" s="370">
        <f>U73*F73*(G73+H73)</f>
        <v>1120000</v>
      </c>
      <c r="W73" s="302">
        <v>15000</v>
      </c>
      <c r="X73" s="302">
        <f>W73*(G73+H73)</f>
        <v>105000</v>
      </c>
      <c r="Y73" s="302">
        <v>400000</v>
      </c>
      <c r="Z73" s="302">
        <f>Y73*(G73+H73)</f>
        <v>2800000</v>
      </c>
      <c r="AA73" s="302">
        <v>0</v>
      </c>
      <c r="AB73" s="302">
        <v>0</v>
      </c>
      <c r="AC73" s="302">
        <v>0</v>
      </c>
      <c r="AD73" s="370">
        <f>T73+V73+X73+Z73+AA73+AB73+AC73</f>
        <v>6265000</v>
      </c>
      <c r="AE73" s="370">
        <f t="shared" ref="AE73:AE78" si="7">R73+AD73</f>
        <v>6265000</v>
      </c>
    </row>
    <row r="74" spans="1:32" s="371" customFormat="1" ht="409.5">
      <c r="A74" s="367">
        <v>89</v>
      </c>
      <c r="B74" s="294">
        <v>8</v>
      </c>
      <c r="C74" s="368" t="s">
        <v>301</v>
      </c>
      <c r="D74" s="299" t="s">
        <v>371</v>
      </c>
      <c r="E74" s="299" t="s">
        <v>382</v>
      </c>
      <c r="F74" s="369">
        <v>14</v>
      </c>
      <c r="G74" s="369">
        <v>7</v>
      </c>
      <c r="H74" s="370"/>
      <c r="I74" s="370">
        <v>9000</v>
      </c>
      <c r="J74" s="370">
        <f>I74*F74*(G74+H74)</f>
        <v>882000</v>
      </c>
      <c r="K74" s="370">
        <v>7292</v>
      </c>
      <c r="L74" s="370">
        <f>K74*F74*(G74)</f>
        <v>714616</v>
      </c>
      <c r="M74" s="370">
        <v>6126</v>
      </c>
      <c r="N74" s="370">
        <f>M74*F74*H74</f>
        <v>0</v>
      </c>
      <c r="O74" s="302">
        <v>10000</v>
      </c>
      <c r="P74" s="302">
        <f>O74*H74*2</f>
        <v>0</v>
      </c>
      <c r="Q74" s="302">
        <v>0</v>
      </c>
      <c r="R74" s="376">
        <f>J74+L74+N74+P74+Q74</f>
        <v>1596616</v>
      </c>
      <c r="S74" s="369"/>
      <c r="T74" s="370"/>
      <c r="U74" s="369"/>
      <c r="V74" s="370"/>
      <c r="W74" s="302"/>
      <c r="X74" s="302"/>
      <c r="Y74" s="302"/>
      <c r="Z74" s="302"/>
      <c r="AA74" s="302"/>
      <c r="AB74" s="302"/>
      <c r="AC74" s="302"/>
      <c r="AD74" s="370">
        <v>0</v>
      </c>
      <c r="AE74" s="370">
        <f t="shared" si="7"/>
        <v>1596616</v>
      </c>
    </row>
    <row r="75" spans="1:32" s="371" customFormat="1" ht="409.5">
      <c r="A75" s="367">
        <v>90</v>
      </c>
      <c r="B75" s="294">
        <v>9</v>
      </c>
      <c r="C75" s="368" t="s">
        <v>379</v>
      </c>
      <c r="D75" s="299" t="s">
        <v>391</v>
      </c>
      <c r="E75" s="299" t="s">
        <v>382</v>
      </c>
      <c r="F75" s="369">
        <v>16</v>
      </c>
      <c r="G75" s="369">
        <v>7</v>
      </c>
      <c r="H75" s="370"/>
      <c r="I75" s="370">
        <v>9000</v>
      </c>
      <c r="J75" s="370">
        <f>I75*F75*(G75+H75)</f>
        <v>1008000</v>
      </c>
      <c r="K75" s="370">
        <v>7292</v>
      </c>
      <c r="L75" s="370">
        <f>K75*F75*(G75)</f>
        <v>816704</v>
      </c>
      <c r="M75" s="370">
        <v>6126</v>
      </c>
      <c r="N75" s="370">
        <f>M75*F75*H75</f>
        <v>0</v>
      </c>
      <c r="O75" s="302">
        <v>10000</v>
      </c>
      <c r="P75" s="302">
        <f>O75*H75*2</f>
        <v>0</v>
      </c>
      <c r="Q75" s="302">
        <v>335432</v>
      </c>
      <c r="R75" s="376">
        <f>J75+L75+N75+P75+Q75</f>
        <v>2160136</v>
      </c>
      <c r="S75" s="369"/>
      <c r="T75" s="370"/>
      <c r="U75" s="302"/>
      <c r="V75" s="370"/>
      <c r="W75" s="302"/>
      <c r="X75" s="302"/>
      <c r="Y75" s="302"/>
      <c r="Z75" s="302"/>
      <c r="AA75" s="302"/>
      <c r="AB75" s="302"/>
      <c r="AC75" s="302"/>
      <c r="AD75" s="370">
        <v>0</v>
      </c>
      <c r="AE75" s="370">
        <f t="shared" si="7"/>
        <v>2160136</v>
      </c>
    </row>
    <row r="76" spans="1:32" s="371" customFormat="1" ht="409.5">
      <c r="A76" s="367">
        <v>91</v>
      </c>
      <c r="B76" s="294">
        <v>10</v>
      </c>
      <c r="C76" s="368" t="s">
        <v>392</v>
      </c>
      <c r="D76" s="299" t="s">
        <v>393</v>
      </c>
      <c r="E76" s="299" t="s">
        <v>382</v>
      </c>
      <c r="F76" s="369">
        <v>16</v>
      </c>
      <c r="G76" s="369">
        <v>7</v>
      </c>
      <c r="H76" s="370"/>
      <c r="I76" s="370">
        <v>9000</v>
      </c>
      <c r="J76" s="370">
        <f>I76*F76*(G76+H76)</f>
        <v>1008000</v>
      </c>
      <c r="K76" s="370">
        <v>7292</v>
      </c>
      <c r="L76" s="370">
        <f>K76*F76*(G76)</f>
        <v>816704</v>
      </c>
      <c r="M76" s="370">
        <v>6126</v>
      </c>
      <c r="N76" s="370">
        <f>M76*F76*H76</f>
        <v>0</v>
      </c>
      <c r="O76" s="302">
        <v>10000</v>
      </c>
      <c r="P76" s="302">
        <f>O76*H76*2</f>
        <v>0</v>
      </c>
      <c r="Q76" s="302">
        <v>335432</v>
      </c>
      <c r="R76" s="376">
        <f>J76+L76+N76+P76+Q76</f>
        <v>2160136</v>
      </c>
      <c r="S76" s="369"/>
      <c r="T76" s="370"/>
      <c r="U76" s="369"/>
      <c r="V76" s="370"/>
      <c r="W76" s="302"/>
      <c r="X76" s="302"/>
      <c r="Y76" s="302"/>
      <c r="Z76" s="302"/>
      <c r="AA76" s="302"/>
      <c r="AB76" s="302"/>
      <c r="AC76" s="302"/>
      <c r="AD76" s="370">
        <v>0</v>
      </c>
      <c r="AE76" s="370">
        <f t="shared" si="7"/>
        <v>2160136</v>
      </c>
    </row>
    <row r="77" spans="1:32" s="371" customFormat="1" ht="133.5">
      <c r="A77" s="367">
        <v>92</v>
      </c>
      <c r="B77" s="294">
        <v>11</v>
      </c>
      <c r="C77" s="368" t="s">
        <v>334</v>
      </c>
      <c r="D77" s="299" t="s">
        <v>394</v>
      </c>
      <c r="E77" s="299" t="s">
        <v>335</v>
      </c>
      <c r="F77" s="369">
        <v>10</v>
      </c>
      <c r="G77" s="369">
        <v>7</v>
      </c>
      <c r="H77" s="370"/>
      <c r="I77" s="370">
        <v>0</v>
      </c>
      <c r="J77" s="370">
        <v>0</v>
      </c>
      <c r="K77" s="370">
        <v>0</v>
      </c>
      <c r="L77" s="370">
        <v>0</v>
      </c>
      <c r="M77" s="370">
        <v>0</v>
      </c>
      <c r="N77" s="370">
        <v>0</v>
      </c>
      <c r="O77" s="302">
        <v>0</v>
      </c>
      <c r="P77" s="302">
        <v>0</v>
      </c>
      <c r="Q77" s="302">
        <v>0</v>
      </c>
      <c r="R77" s="376">
        <v>0</v>
      </c>
      <c r="S77" s="369">
        <v>40000</v>
      </c>
      <c r="T77" s="370">
        <f>S77*F77*(G77+H77)</f>
        <v>2800000</v>
      </c>
      <c r="U77" s="369">
        <v>20000</v>
      </c>
      <c r="V77" s="370">
        <f>U77*F77*(G77+H77)</f>
        <v>1400000</v>
      </c>
      <c r="W77" s="302">
        <v>15000</v>
      </c>
      <c r="X77" s="302">
        <f>W77*(G77+H77)</f>
        <v>105000</v>
      </c>
      <c r="Y77" s="302">
        <v>800000</v>
      </c>
      <c r="Z77" s="302">
        <f>Y77*(G77+H77)</f>
        <v>5600000</v>
      </c>
      <c r="AA77" s="302">
        <f>40000*(G77+H77)</f>
        <v>280000</v>
      </c>
      <c r="AB77" s="302">
        <v>0</v>
      </c>
      <c r="AC77" s="302">
        <v>0</v>
      </c>
      <c r="AD77" s="370">
        <f>T77+V77+X77+Z77+AA77+AB77+AC77</f>
        <v>10185000</v>
      </c>
      <c r="AE77" s="370">
        <f t="shared" si="7"/>
        <v>10185000</v>
      </c>
    </row>
    <row r="78" spans="1:32" s="283" customFormat="1" ht="75" customHeight="1">
      <c r="A78" s="1644" t="s">
        <v>233</v>
      </c>
      <c r="B78" s="1644"/>
      <c r="C78" s="1644"/>
      <c r="D78" s="1644"/>
      <c r="E78" s="1644"/>
      <c r="F78" s="1644"/>
      <c r="G78" s="1644"/>
      <c r="H78" s="326"/>
      <c r="I78" s="281"/>
      <c r="J78" s="281">
        <f>SUM(J68:J77)</f>
        <v>5760000</v>
      </c>
      <c r="K78" s="281"/>
      <c r="L78" s="281">
        <f>SUM(L68:L77)</f>
        <v>4892660</v>
      </c>
      <c r="M78" s="281"/>
      <c r="N78" s="281">
        <f>SUM(N68:N77)</f>
        <v>0</v>
      </c>
      <c r="O78" s="280"/>
      <c r="P78" s="280">
        <f>SUM(P68:P77)</f>
        <v>0</v>
      </c>
      <c r="Q78" s="280">
        <f>SUM(Q68:Q77)</f>
        <v>670864</v>
      </c>
      <c r="R78" s="280">
        <f>J78+L78+N78+P78+Q78</f>
        <v>11323524</v>
      </c>
      <c r="S78" s="280"/>
      <c r="T78" s="280">
        <f>SUM(T68:T77)</f>
        <v>12564000</v>
      </c>
      <c r="U78" s="280"/>
      <c r="V78" s="280">
        <f>SUM(V68:V77)</f>
        <v>8539200</v>
      </c>
      <c r="W78" s="280"/>
      <c r="X78" s="280">
        <f>SUM(X68:X77)</f>
        <v>444000</v>
      </c>
      <c r="Y78" s="280"/>
      <c r="Z78" s="280">
        <f>SUM(Z68:Z77)</f>
        <v>21800000</v>
      </c>
      <c r="AA78" s="280">
        <f>SUM(AA68:AA77)</f>
        <v>880000</v>
      </c>
      <c r="AB78" s="281">
        <f>SUM(AB68:AB77)</f>
        <v>100000</v>
      </c>
      <c r="AC78" s="281">
        <f>SUM(AC68:AC77)</f>
        <v>83000</v>
      </c>
      <c r="AD78" s="281">
        <f>T78+V78+X78+Z78+AA78+AB78+AC78</f>
        <v>44410200</v>
      </c>
      <c r="AE78" s="280">
        <f t="shared" si="7"/>
        <v>55733724</v>
      </c>
      <c r="AF78" s="282"/>
    </row>
    <row r="79" spans="1:32" s="283" customFormat="1" ht="96.75" customHeight="1">
      <c r="A79" s="1651" t="s">
        <v>395</v>
      </c>
      <c r="B79" s="1651"/>
      <c r="C79" s="1651"/>
      <c r="D79" s="1651"/>
      <c r="E79" s="1651"/>
      <c r="F79" s="1651"/>
      <c r="G79" s="1651"/>
      <c r="H79" s="1651"/>
      <c r="I79" s="1651"/>
      <c r="J79" s="1651"/>
      <c r="K79" s="1651"/>
      <c r="L79" s="1651"/>
      <c r="M79" s="1651"/>
      <c r="N79" s="1651"/>
      <c r="O79" s="1651"/>
      <c r="P79" s="1651"/>
      <c r="Q79" s="1651"/>
      <c r="R79" s="1651"/>
      <c r="S79" s="1651"/>
      <c r="T79" s="1651"/>
      <c r="U79" s="1651"/>
      <c r="V79" s="1651"/>
      <c r="W79" s="1651"/>
      <c r="X79" s="1651"/>
      <c r="Y79" s="1651"/>
      <c r="Z79" s="1651"/>
      <c r="AA79" s="1651"/>
      <c r="AB79" s="1651"/>
      <c r="AC79" s="1651"/>
      <c r="AD79" s="1651"/>
      <c r="AE79" s="1651"/>
      <c r="AF79" s="282"/>
    </row>
    <row r="80" spans="1:32" s="267" customFormat="1" ht="267">
      <c r="A80" s="271">
        <v>93</v>
      </c>
      <c r="B80" s="272">
        <v>1</v>
      </c>
      <c r="C80" s="298" t="s">
        <v>385</v>
      </c>
      <c r="D80" s="299" t="s">
        <v>396</v>
      </c>
      <c r="E80" s="299" t="s">
        <v>387</v>
      </c>
      <c r="F80" s="300">
        <v>3</v>
      </c>
      <c r="G80" s="300">
        <v>5</v>
      </c>
      <c r="H80" s="301"/>
      <c r="I80" s="301">
        <v>9000</v>
      </c>
      <c r="J80" s="301">
        <f>I80*F80*(G80+H80)</f>
        <v>135000</v>
      </c>
      <c r="K80" s="273">
        <v>8002</v>
      </c>
      <c r="L80" s="301">
        <f>SUM(K80*F80*G80)</f>
        <v>120030</v>
      </c>
      <c r="M80" s="273">
        <v>6402</v>
      </c>
      <c r="N80" s="301">
        <f>M80*F80*H80</f>
        <v>0</v>
      </c>
      <c r="O80" s="302">
        <v>10000</v>
      </c>
      <c r="P80" s="302">
        <f>O80*H80</f>
        <v>0</v>
      </c>
      <c r="Q80" s="302"/>
      <c r="R80" s="409">
        <f>J80+L80+N80+P80+Q80</f>
        <v>255030</v>
      </c>
      <c r="S80" s="300"/>
      <c r="T80" s="301"/>
      <c r="U80" s="300"/>
      <c r="V80" s="301"/>
      <c r="W80" s="302"/>
      <c r="X80" s="302"/>
      <c r="Y80" s="302"/>
      <c r="Z80" s="302"/>
      <c r="AA80" s="302"/>
      <c r="AB80" s="302"/>
      <c r="AC80" s="302"/>
      <c r="AD80" s="301"/>
      <c r="AE80" s="301">
        <f>AD80+R80</f>
        <v>255030</v>
      </c>
      <c r="AF80" s="266"/>
    </row>
    <row r="81" spans="1:32" s="267" customFormat="1" ht="200.25">
      <c r="A81" s="271">
        <v>97</v>
      </c>
      <c r="B81" s="272">
        <v>5</v>
      </c>
      <c r="C81" s="298" t="s">
        <v>383</v>
      </c>
      <c r="D81" s="299" t="s">
        <v>318</v>
      </c>
      <c r="E81" s="299" t="s">
        <v>398</v>
      </c>
      <c r="F81" s="300">
        <v>8</v>
      </c>
      <c r="G81" s="300">
        <v>6</v>
      </c>
      <c r="H81" s="301"/>
      <c r="I81" s="301"/>
      <c r="J81" s="301"/>
      <c r="K81" s="301"/>
      <c r="L81" s="301"/>
      <c r="M81" s="301"/>
      <c r="N81" s="301"/>
      <c r="O81" s="302"/>
      <c r="P81" s="302"/>
      <c r="Q81" s="302"/>
      <c r="R81" s="409">
        <f>J81+L81+N81+P81+Q81</f>
        <v>0</v>
      </c>
      <c r="S81" s="300">
        <v>43000</v>
      </c>
      <c r="T81" s="301">
        <f>S81*F81*(G81+H81)</f>
        <v>2064000</v>
      </c>
      <c r="U81" s="302">
        <v>20000</v>
      </c>
      <c r="V81" s="301">
        <f>U81*F81*(G81+H81)</f>
        <v>960000</v>
      </c>
      <c r="W81" s="302"/>
      <c r="X81" s="302">
        <v>50000</v>
      </c>
      <c r="Y81" s="302">
        <v>800000</v>
      </c>
      <c r="Z81" s="302">
        <f>Y81*(G81+H81)</f>
        <v>4800000</v>
      </c>
      <c r="AA81" s="302">
        <v>200000</v>
      </c>
      <c r="AB81" s="302">
        <v>89812</v>
      </c>
      <c r="AC81" s="302">
        <v>0</v>
      </c>
      <c r="AD81" s="301">
        <f>T81+V81+X81+Z81+AA81+AB81+AC81</f>
        <v>8163812</v>
      </c>
      <c r="AE81" s="301">
        <f>AD81+R81</f>
        <v>8163812</v>
      </c>
      <c r="AF81" s="266"/>
    </row>
    <row r="82" spans="1:32" s="371" customFormat="1" ht="409.5">
      <c r="A82" s="271">
        <v>98</v>
      </c>
      <c r="B82" s="272">
        <v>6</v>
      </c>
      <c r="C82" s="368" t="s">
        <v>301</v>
      </c>
      <c r="D82" s="299" t="s">
        <v>371</v>
      </c>
      <c r="E82" s="299" t="s">
        <v>388</v>
      </c>
      <c r="F82" s="369">
        <v>16</v>
      </c>
      <c r="G82" s="369">
        <v>7</v>
      </c>
      <c r="H82" s="370"/>
      <c r="I82" s="370">
        <v>9000</v>
      </c>
      <c r="J82" s="370">
        <f>I82*F82*(G82+H82)</f>
        <v>1008000</v>
      </c>
      <c r="K82" s="370">
        <v>7292</v>
      </c>
      <c r="L82" s="370">
        <f>K82*F82*(G82)</f>
        <v>816704</v>
      </c>
      <c r="M82" s="370">
        <v>6126</v>
      </c>
      <c r="N82" s="370">
        <f>M82*F82*H82</f>
        <v>0</v>
      </c>
      <c r="O82" s="302">
        <v>10000</v>
      </c>
      <c r="P82" s="302">
        <f>O82*H82*2</f>
        <v>0</v>
      </c>
      <c r="Q82" s="302">
        <v>233344</v>
      </c>
      <c r="R82" s="376">
        <f>J82+L82+N82+P82+Q82</f>
        <v>2058048</v>
      </c>
      <c r="S82" s="369"/>
      <c r="T82" s="370"/>
      <c r="U82" s="369"/>
      <c r="V82" s="370"/>
      <c r="W82" s="302"/>
      <c r="X82" s="302"/>
      <c r="Y82" s="302"/>
      <c r="Z82" s="302"/>
      <c r="AA82" s="302"/>
      <c r="AB82" s="302"/>
      <c r="AC82" s="302"/>
      <c r="AD82" s="370">
        <v>0</v>
      </c>
      <c r="AE82" s="370">
        <f>R82+AD82</f>
        <v>2058048</v>
      </c>
    </row>
    <row r="83" spans="1:32" s="371" customFormat="1" ht="133.5">
      <c r="A83" s="367">
        <v>99</v>
      </c>
      <c r="B83" s="284">
        <v>7</v>
      </c>
      <c r="C83" s="368" t="s">
        <v>390</v>
      </c>
      <c r="D83" s="299" t="s">
        <v>399</v>
      </c>
      <c r="E83" s="299" t="s">
        <v>365</v>
      </c>
      <c r="F83" s="369">
        <v>8</v>
      </c>
      <c r="G83" s="369">
        <v>7</v>
      </c>
      <c r="H83" s="370"/>
      <c r="I83" s="370">
        <v>0</v>
      </c>
      <c r="J83" s="370">
        <v>0</v>
      </c>
      <c r="K83" s="370">
        <v>0</v>
      </c>
      <c r="L83" s="370">
        <v>0</v>
      </c>
      <c r="M83" s="370">
        <v>0</v>
      </c>
      <c r="N83" s="370">
        <v>0</v>
      </c>
      <c r="O83" s="302">
        <v>0</v>
      </c>
      <c r="P83" s="302">
        <v>0</v>
      </c>
      <c r="Q83" s="302">
        <v>0</v>
      </c>
      <c r="R83" s="376">
        <v>0</v>
      </c>
      <c r="S83" s="369">
        <v>40000</v>
      </c>
      <c r="T83" s="370">
        <f>S83*F83*(G83+H83)</f>
        <v>2240000</v>
      </c>
      <c r="U83" s="369">
        <v>20000</v>
      </c>
      <c r="V83" s="370">
        <f>U83*F83*(G83+H83)</f>
        <v>1120000</v>
      </c>
      <c r="W83" s="302">
        <v>15000</v>
      </c>
      <c r="X83" s="302">
        <f>W83*(G83+H83)</f>
        <v>105000</v>
      </c>
      <c r="Y83" s="302">
        <v>400000</v>
      </c>
      <c r="Z83" s="302">
        <f>Y83*(G83+H83)</f>
        <v>2800000</v>
      </c>
      <c r="AA83" s="302">
        <v>0</v>
      </c>
      <c r="AB83" s="302">
        <v>0</v>
      </c>
      <c r="AC83" s="302">
        <v>0</v>
      </c>
      <c r="AD83" s="370">
        <f>T83+V83+X83+Z83+AA83+AB83+AC83</f>
        <v>6265000</v>
      </c>
      <c r="AE83" s="370">
        <f>R83+AD83</f>
        <v>6265000</v>
      </c>
    </row>
    <row r="84" spans="1:32" s="371" customFormat="1" ht="409.5">
      <c r="A84" s="271">
        <v>100</v>
      </c>
      <c r="B84" s="272">
        <v>8</v>
      </c>
      <c r="C84" s="368" t="s">
        <v>301</v>
      </c>
      <c r="D84" s="299" t="s">
        <v>393</v>
      </c>
      <c r="E84" s="299" t="s">
        <v>388</v>
      </c>
      <c r="F84" s="369">
        <v>16</v>
      </c>
      <c r="G84" s="369">
        <v>5</v>
      </c>
      <c r="H84" s="370"/>
      <c r="I84" s="370">
        <v>9000</v>
      </c>
      <c r="J84" s="370">
        <f>I84*F84*(G84+H84)</f>
        <v>720000</v>
      </c>
      <c r="K84" s="370">
        <v>7292</v>
      </c>
      <c r="L84" s="370">
        <f>K84*F84*(G84)</f>
        <v>583360</v>
      </c>
      <c r="M84" s="370">
        <v>6126</v>
      </c>
      <c r="N84" s="370">
        <f>M84*F84*H84</f>
        <v>0</v>
      </c>
      <c r="O84" s="302">
        <v>10000</v>
      </c>
      <c r="P84" s="302">
        <f>O84*H84*2</f>
        <v>0</v>
      </c>
      <c r="Q84" s="302">
        <v>233344</v>
      </c>
      <c r="R84" s="376">
        <f>J84+L84+N84+P84+Q84</f>
        <v>1536704</v>
      </c>
      <c r="S84" s="369"/>
      <c r="T84" s="370"/>
      <c r="U84" s="369"/>
      <c r="V84" s="370"/>
      <c r="W84" s="302"/>
      <c r="X84" s="302"/>
      <c r="Y84" s="302"/>
      <c r="Z84" s="302"/>
      <c r="AA84" s="302"/>
      <c r="AB84" s="302"/>
      <c r="AC84" s="302"/>
      <c r="AD84" s="370">
        <v>0</v>
      </c>
      <c r="AE84" s="370">
        <f>R84+AD84</f>
        <v>1536704</v>
      </c>
    </row>
    <row r="85" spans="1:32" s="371" customFormat="1" ht="133.5">
      <c r="A85" s="271">
        <v>101</v>
      </c>
      <c r="B85" s="272">
        <v>9</v>
      </c>
      <c r="C85" s="368" t="s">
        <v>334</v>
      </c>
      <c r="D85" s="299" t="s">
        <v>394</v>
      </c>
      <c r="E85" s="299" t="s">
        <v>335</v>
      </c>
      <c r="F85" s="369">
        <v>10</v>
      </c>
      <c r="G85" s="369">
        <v>7</v>
      </c>
      <c r="H85" s="370"/>
      <c r="I85" s="370">
        <v>0</v>
      </c>
      <c r="J85" s="370">
        <v>0</v>
      </c>
      <c r="K85" s="370">
        <v>0</v>
      </c>
      <c r="L85" s="370">
        <v>0</v>
      </c>
      <c r="M85" s="370">
        <v>0</v>
      </c>
      <c r="N85" s="370">
        <v>0</v>
      </c>
      <c r="O85" s="302">
        <v>0</v>
      </c>
      <c r="P85" s="302">
        <v>0</v>
      </c>
      <c r="Q85" s="302">
        <v>0</v>
      </c>
      <c r="R85" s="376">
        <v>0</v>
      </c>
      <c r="S85" s="369">
        <v>40000</v>
      </c>
      <c r="T85" s="370">
        <f>S85*F85*(G85+H85)</f>
        <v>2800000</v>
      </c>
      <c r="U85" s="369">
        <v>20000</v>
      </c>
      <c r="V85" s="370">
        <f>U85*F85*(G85+H85)</f>
        <v>1400000</v>
      </c>
      <c r="W85" s="302">
        <v>15000</v>
      </c>
      <c r="X85" s="302">
        <f>W85*(G85+H85)</f>
        <v>105000</v>
      </c>
      <c r="Y85" s="302">
        <v>800000</v>
      </c>
      <c r="Z85" s="302">
        <f>Y85*(G85+H85)</f>
        <v>5600000</v>
      </c>
      <c r="AA85" s="302">
        <f>40000*(G85+H85)</f>
        <v>280000</v>
      </c>
      <c r="AB85" s="302">
        <v>0</v>
      </c>
      <c r="AC85" s="302">
        <v>0</v>
      </c>
      <c r="AD85" s="370">
        <f>T85+V85+X85+Z85+AA85+AB85+AC85</f>
        <v>10185000</v>
      </c>
      <c r="AE85" s="370">
        <f>R85+AD85</f>
        <v>10185000</v>
      </c>
    </row>
    <row r="86" spans="1:32" s="283" customFormat="1" ht="75" customHeight="1">
      <c r="A86" s="1644" t="s">
        <v>233</v>
      </c>
      <c r="B86" s="1644"/>
      <c r="C86" s="1644"/>
      <c r="D86" s="1644"/>
      <c r="E86" s="1644"/>
      <c r="F86" s="1644"/>
      <c r="G86" s="1644"/>
      <c r="H86" s="326"/>
      <c r="I86" s="281"/>
      <c r="J86" s="281">
        <f>SUM(J80:J85)</f>
        <v>1863000</v>
      </c>
      <c r="K86" s="281"/>
      <c r="L86" s="281">
        <f>SUM(L80:L85)</f>
        <v>1520094</v>
      </c>
      <c r="M86" s="281"/>
      <c r="N86" s="281">
        <f>SUM(N80:N85)</f>
        <v>0</v>
      </c>
      <c r="O86" s="280"/>
      <c r="P86" s="280">
        <f>SUM(P80:P85)</f>
        <v>0</v>
      </c>
      <c r="Q86" s="280">
        <f>SUM(Q80:Q85)</f>
        <v>466688</v>
      </c>
      <c r="R86" s="280">
        <f>J86+L86+N86+P86+Q86</f>
        <v>3849782</v>
      </c>
      <c r="S86" s="280"/>
      <c r="T86" s="280">
        <f>SUM(T80:T85)</f>
        <v>7104000</v>
      </c>
      <c r="U86" s="280"/>
      <c r="V86" s="280">
        <f>SUM(V80:V85)</f>
        <v>3480000</v>
      </c>
      <c r="W86" s="280"/>
      <c r="X86" s="280">
        <f>SUM(X80:X85)</f>
        <v>260000</v>
      </c>
      <c r="Y86" s="280"/>
      <c r="Z86" s="280">
        <f>SUM(Z80:Z85)</f>
        <v>13200000</v>
      </c>
      <c r="AA86" s="280">
        <f>SUM(AA80:AA85)</f>
        <v>480000</v>
      </c>
      <c r="AB86" s="281">
        <f>SUM(AB80:AB85)</f>
        <v>89812</v>
      </c>
      <c r="AC86" s="281">
        <f>SUM(AC80:AC85)</f>
        <v>0</v>
      </c>
      <c r="AD86" s="281">
        <f>T86+V86+X86+Z86+AA86+AB86+AC86</f>
        <v>24613812</v>
      </c>
      <c r="AE86" s="280">
        <f>R86+AD86</f>
        <v>28463594</v>
      </c>
      <c r="AF86" s="282"/>
    </row>
    <row r="87" spans="1:32" s="283" customFormat="1" ht="111.75" customHeight="1">
      <c r="A87" s="1651" t="s">
        <v>400</v>
      </c>
      <c r="B87" s="1651"/>
      <c r="C87" s="1651"/>
      <c r="D87" s="1651"/>
      <c r="E87" s="1651"/>
      <c r="F87" s="1651"/>
      <c r="G87" s="1651"/>
      <c r="H87" s="1651"/>
      <c r="I87" s="1651"/>
      <c r="J87" s="1651"/>
      <c r="K87" s="1651"/>
      <c r="L87" s="1651"/>
      <c r="M87" s="1651"/>
      <c r="N87" s="1651"/>
      <c r="O87" s="1651"/>
      <c r="P87" s="1651"/>
      <c r="Q87" s="1651"/>
      <c r="R87" s="1651"/>
      <c r="S87" s="1651"/>
      <c r="T87" s="1651"/>
      <c r="U87" s="1651"/>
      <c r="V87" s="1651"/>
      <c r="W87" s="1651"/>
      <c r="X87" s="1651"/>
      <c r="Y87" s="1651"/>
      <c r="Z87" s="1651"/>
      <c r="AA87" s="1651"/>
      <c r="AB87" s="1651"/>
      <c r="AC87" s="1651"/>
      <c r="AD87" s="1651"/>
      <c r="AE87" s="1651"/>
      <c r="AF87" s="282"/>
    </row>
    <row r="88" spans="1:32" s="267" customFormat="1" ht="267">
      <c r="A88" s="367">
        <v>102</v>
      </c>
      <c r="B88" s="294">
        <v>1</v>
      </c>
      <c r="C88" s="298" t="s">
        <v>385</v>
      </c>
      <c r="D88" s="299" t="s">
        <v>401</v>
      </c>
      <c r="E88" s="299" t="s">
        <v>387</v>
      </c>
      <c r="F88" s="300">
        <v>3</v>
      </c>
      <c r="G88" s="300">
        <v>10</v>
      </c>
      <c r="H88" s="301"/>
      <c r="I88" s="301">
        <v>9000</v>
      </c>
      <c r="J88" s="301">
        <f>I88*F88*(G88+H88)</f>
        <v>270000</v>
      </c>
      <c r="K88" s="273">
        <v>8002</v>
      </c>
      <c r="L88" s="301">
        <f>SUM(K88*F88*G88)</f>
        <v>240060</v>
      </c>
      <c r="M88" s="273">
        <v>6402</v>
      </c>
      <c r="N88" s="301">
        <f>M88*F88*H88</f>
        <v>0</v>
      </c>
      <c r="O88" s="302">
        <v>10000</v>
      </c>
      <c r="P88" s="302">
        <f>O88*H88</f>
        <v>0</v>
      </c>
      <c r="Q88" s="302"/>
      <c r="R88" s="409">
        <f t="shared" ref="R88:R93" si="8">J88+L88+N88+P88+Q88</f>
        <v>510060</v>
      </c>
      <c r="S88" s="300"/>
      <c r="T88" s="301"/>
      <c r="U88" s="300"/>
      <c r="V88" s="301"/>
      <c r="W88" s="302"/>
      <c r="X88" s="302"/>
      <c r="Y88" s="302"/>
      <c r="Z88" s="302"/>
      <c r="AA88" s="302"/>
      <c r="AB88" s="302"/>
      <c r="AC88" s="302"/>
      <c r="AD88" s="301"/>
      <c r="AE88" s="301">
        <f>AD88+R88</f>
        <v>510060</v>
      </c>
      <c r="AF88" s="266"/>
    </row>
    <row r="89" spans="1:32" s="267" customFormat="1" ht="409.5">
      <c r="A89" s="367">
        <v>105</v>
      </c>
      <c r="B89" s="294">
        <v>4</v>
      </c>
      <c r="C89" s="298" t="s">
        <v>301</v>
      </c>
      <c r="D89" s="299" t="s">
        <v>402</v>
      </c>
      <c r="E89" s="299" t="s">
        <v>388</v>
      </c>
      <c r="F89" s="300">
        <v>18</v>
      </c>
      <c r="G89" s="300">
        <v>10</v>
      </c>
      <c r="H89" s="301"/>
      <c r="I89" s="301">
        <v>9000</v>
      </c>
      <c r="J89" s="301">
        <f>I89*F89*(G89+H89)</f>
        <v>1620000</v>
      </c>
      <c r="K89" s="273">
        <v>8002</v>
      </c>
      <c r="L89" s="301">
        <f>SUM(K89*F89*G89)</f>
        <v>1440360</v>
      </c>
      <c r="M89" s="273">
        <v>6402</v>
      </c>
      <c r="N89" s="301">
        <f>M89*F89*H89</f>
        <v>0</v>
      </c>
      <c r="O89" s="302">
        <v>10000</v>
      </c>
      <c r="P89" s="302">
        <f>O89*H89</f>
        <v>0</v>
      </c>
      <c r="Q89" s="302"/>
      <c r="R89" s="409">
        <f t="shared" si="8"/>
        <v>3060360</v>
      </c>
      <c r="S89" s="300"/>
      <c r="T89" s="301"/>
      <c r="U89" s="300"/>
      <c r="V89" s="301"/>
      <c r="W89" s="302"/>
      <c r="X89" s="302"/>
      <c r="Y89" s="302"/>
      <c r="Z89" s="302"/>
      <c r="AA89" s="302"/>
      <c r="AB89" s="302"/>
      <c r="AC89" s="302"/>
      <c r="AD89" s="301"/>
      <c r="AE89" s="301">
        <f>AD89+R89</f>
        <v>3060360</v>
      </c>
      <c r="AF89" s="266"/>
    </row>
    <row r="90" spans="1:32" s="267" customFormat="1" ht="256.5" customHeight="1">
      <c r="A90" s="367">
        <v>107</v>
      </c>
      <c r="B90" s="294">
        <v>6</v>
      </c>
      <c r="C90" s="298" t="s">
        <v>301</v>
      </c>
      <c r="D90" s="299" t="s">
        <v>403</v>
      </c>
      <c r="E90" s="299" t="s">
        <v>404</v>
      </c>
      <c r="F90" s="300">
        <v>7</v>
      </c>
      <c r="G90" s="300">
        <v>10</v>
      </c>
      <c r="H90" s="301"/>
      <c r="I90" s="301"/>
      <c r="J90" s="301"/>
      <c r="K90" s="301"/>
      <c r="L90" s="301"/>
      <c r="M90" s="301"/>
      <c r="N90" s="301"/>
      <c r="O90" s="302"/>
      <c r="P90" s="302"/>
      <c r="Q90" s="302"/>
      <c r="R90" s="409">
        <f t="shared" si="8"/>
        <v>0</v>
      </c>
      <c r="S90" s="300">
        <v>34800</v>
      </c>
      <c r="T90" s="301">
        <f>S90*F90*(G90+H90)</f>
        <v>2436000</v>
      </c>
      <c r="U90" s="302">
        <v>20000</v>
      </c>
      <c r="V90" s="301">
        <f>U90*F90*(G90+H90)</f>
        <v>1400000</v>
      </c>
      <c r="W90" s="302"/>
      <c r="X90" s="302">
        <v>68296</v>
      </c>
      <c r="Y90" s="302">
        <v>800000</v>
      </c>
      <c r="Z90" s="302">
        <f>Y90*(G90+H90)</f>
        <v>8000000</v>
      </c>
      <c r="AA90" s="302">
        <v>100000</v>
      </c>
      <c r="AB90" s="302">
        <v>59770</v>
      </c>
      <c r="AC90" s="302">
        <v>0</v>
      </c>
      <c r="AD90" s="301">
        <f>T90+V90+X90+Z90+AA90+AB90+AC90</f>
        <v>12064066</v>
      </c>
      <c r="AE90" s="301">
        <f>AD90+R90</f>
        <v>12064066</v>
      </c>
      <c r="AF90" s="266"/>
    </row>
    <row r="91" spans="1:32" s="371" customFormat="1" ht="409.5">
      <c r="A91" s="367">
        <v>108</v>
      </c>
      <c r="B91" s="294">
        <v>7</v>
      </c>
      <c r="C91" s="368" t="s">
        <v>301</v>
      </c>
      <c r="D91" s="299" t="s">
        <v>371</v>
      </c>
      <c r="E91" s="299" t="s">
        <v>388</v>
      </c>
      <c r="F91" s="369">
        <v>16</v>
      </c>
      <c r="G91" s="369">
        <v>10</v>
      </c>
      <c r="H91" s="370"/>
      <c r="I91" s="370">
        <v>9000</v>
      </c>
      <c r="J91" s="370">
        <f>I91*F91*(G91+H91)</f>
        <v>1440000</v>
      </c>
      <c r="K91" s="370">
        <v>7292</v>
      </c>
      <c r="L91" s="370">
        <f>K91*F91*(G91)</f>
        <v>1166720</v>
      </c>
      <c r="M91" s="370">
        <v>6126</v>
      </c>
      <c r="N91" s="370">
        <f>M91*F91*H91</f>
        <v>0</v>
      </c>
      <c r="O91" s="302">
        <v>10000</v>
      </c>
      <c r="P91" s="302">
        <f>O91*H91*2</f>
        <v>0</v>
      </c>
      <c r="Q91" s="302">
        <v>0</v>
      </c>
      <c r="R91" s="376">
        <f t="shared" si="8"/>
        <v>2606720</v>
      </c>
      <c r="S91" s="369"/>
      <c r="T91" s="370"/>
      <c r="U91" s="369"/>
      <c r="V91" s="370"/>
      <c r="W91" s="302"/>
      <c r="X91" s="302"/>
      <c r="Y91" s="302"/>
      <c r="Z91" s="302"/>
      <c r="AA91" s="302"/>
      <c r="AB91" s="302"/>
      <c r="AC91" s="302"/>
      <c r="AD91" s="370">
        <v>0</v>
      </c>
      <c r="AE91" s="370">
        <f>R91+AD91</f>
        <v>2606720</v>
      </c>
    </row>
    <row r="92" spans="1:32" s="371" customFormat="1" ht="409.5">
      <c r="A92" s="367">
        <v>109</v>
      </c>
      <c r="B92" s="294">
        <v>8</v>
      </c>
      <c r="C92" s="368" t="s">
        <v>405</v>
      </c>
      <c r="D92" s="299" t="s">
        <v>310</v>
      </c>
      <c r="E92" s="299" t="s">
        <v>388</v>
      </c>
      <c r="F92" s="369">
        <v>18</v>
      </c>
      <c r="G92" s="369">
        <v>10</v>
      </c>
      <c r="H92" s="370"/>
      <c r="I92" s="370">
        <v>9000</v>
      </c>
      <c r="J92" s="370">
        <f>I92*F92*(G92+H92)</f>
        <v>1620000</v>
      </c>
      <c r="K92" s="370">
        <v>7292</v>
      </c>
      <c r="L92" s="370">
        <f>K92*F92*(G92)</f>
        <v>1312560</v>
      </c>
      <c r="M92" s="370">
        <v>6126</v>
      </c>
      <c r="N92" s="370">
        <f>M92*F92*H92</f>
        <v>0</v>
      </c>
      <c r="O92" s="302">
        <v>10000</v>
      </c>
      <c r="P92" s="302">
        <f>O92*H92*2</f>
        <v>0</v>
      </c>
      <c r="Q92" s="302">
        <v>0</v>
      </c>
      <c r="R92" s="376">
        <f t="shared" si="8"/>
        <v>2932560</v>
      </c>
      <c r="S92" s="369"/>
      <c r="T92" s="370"/>
      <c r="U92" s="369"/>
      <c r="V92" s="370"/>
      <c r="W92" s="302"/>
      <c r="X92" s="302"/>
      <c r="Y92" s="302"/>
      <c r="Z92" s="302"/>
      <c r="AA92" s="302"/>
      <c r="AB92" s="302"/>
      <c r="AC92" s="302"/>
      <c r="AD92" s="370">
        <v>0</v>
      </c>
      <c r="AE92" s="370">
        <f>R92+AD92</f>
        <v>2932560</v>
      </c>
    </row>
    <row r="93" spans="1:32" s="283" customFormat="1" ht="75" customHeight="1">
      <c r="A93" s="1644" t="s">
        <v>233</v>
      </c>
      <c r="B93" s="1644"/>
      <c r="C93" s="1644"/>
      <c r="D93" s="1644"/>
      <c r="E93" s="1644"/>
      <c r="F93" s="1644"/>
      <c r="G93" s="1644"/>
      <c r="H93" s="326"/>
      <c r="I93" s="281"/>
      <c r="J93" s="281">
        <f>SUM(J88:J92)</f>
        <v>4950000</v>
      </c>
      <c r="K93" s="281"/>
      <c r="L93" s="281">
        <f>SUM(L88:L92)</f>
        <v>4159700</v>
      </c>
      <c r="M93" s="281"/>
      <c r="N93" s="281">
        <f>SUM(N88:N92)</f>
        <v>0</v>
      </c>
      <c r="O93" s="280"/>
      <c r="P93" s="280">
        <f>SUM(P88:P92)</f>
        <v>0</v>
      </c>
      <c r="Q93" s="280">
        <f>SUM(Q88:Q92)</f>
        <v>0</v>
      </c>
      <c r="R93" s="280">
        <f t="shared" si="8"/>
        <v>9109700</v>
      </c>
      <c r="S93" s="280"/>
      <c r="T93" s="280">
        <f>SUM(T88:T92)</f>
        <v>2436000</v>
      </c>
      <c r="U93" s="280"/>
      <c r="V93" s="280">
        <f>SUM(V88:V92)</f>
        <v>1400000</v>
      </c>
      <c r="W93" s="280"/>
      <c r="X93" s="280">
        <f>SUM(X88:X92)</f>
        <v>68296</v>
      </c>
      <c r="Y93" s="280"/>
      <c r="Z93" s="280">
        <f>SUM(Z88:Z92)</f>
        <v>8000000</v>
      </c>
      <c r="AA93" s="280">
        <f>SUM(AA88:AA92)</f>
        <v>100000</v>
      </c>
      <c r="AB93" s="281">
        <f>SUM(AB88:AB92)</f>
        <v>59770</v>
      </c>
      <c r="AC93" s="281">
        <f>SUM(AC88:AC92)</f>
        <v>0</v>
      </c>
      <c r="AD93" s="372">
        <f>T93+V93+X93+Z93+AA93+AB93+AC93</f>
        <v>12064066</v>
      </c>
      <c r="AE93" s="280">
        <f>R93+AD93</f>
        <v>21173766</v>
      </c>
      <c r="AF93" s="282"/>
    </row>
    <row r="94" spans="1:32" s="283" customFormat="1" ht="96.75" customHeight="1">
      <c r="A94" s="1651" t="s">
        <v>407</v>
      </c>
      <c r="B94" s="1651"/>
      <c r="C94" s="1651"/>
      <c r="D94" s="1651"/>
      <c r="E94" s="1651"/>
      <c r="F94" s="1651"/>
      <c r="G94" s="1651"/>
      <c r="H94" s="1651"/>
      <c r="I94" s="1651"/>
      <c r="J94" s="1651"/>
      <c r="K94" s="1651"/>
      <c r="L94" s="1651"/>
      <c r="M94" s="1651"/>
      <c r="N94" s="1651"/>
      <c r="O94" s="1651"/>
      <c r="P94" s="1651"/>
      <c r="Q94" s="1651"/>
      <c r="R94" s="1651"/>
      <c r="S94" s="1651"/>
      <c r="T94" s="1651"/>
      <c r="U94" s="1651"/>
      <c r="V94" s="1651"/>
      <c r="W94" s="1651"/>
      <c r="X94" s="1651"/>
      <c r="Y94" s="1651"/>
      <c r="Z94" s="1651"/>
      <c r="AA94" s="1651"/>
      <c r="AB94" s="1651"/>
      <c r="AC94" s="1651"/>
      <c r="AD94" s="1651"/>
      <c r="AE94" s="1651"/>
      <c r="AF94" s="282"/>
    </row>
    <row r="95" spans="1:32" s="373" customFormat="1" ht="133.5">
      <c r="A95" s="340">
        <v>114</v>
      </c>
      <c r="B95" s="294">
        <v>1</v>
      </c>
      <c r="C95" s="341" t="s">
        <v>330</v>
      </c>
      <c r="D95" s="331" t="s">
        <v>408</v>
      </c>
      <c r="E95" s="331" t="s">
        <v>409</v>
      </c>
      <c r="F95" s="342">
        <v>16</v>
      </c>
      <c r="G95" s="295">
        <v>12</v>
      </c>
      <c r="H95" s="295"/>
      <c r="I95" s="333"/>
      <c r="J95" s="334"/>
      <c r="K95" s="335"/>
      <c r="L95" s="335"/>
      <c r="M95" s="336"/>
      <c r="N95" s="336"/>
      <c r="O95" s="336"/>
      <c r="P95" s="336"/>
      <c r="Q95" s="336"/>
      <c r="R95" s="411"/>
      <c r="S95" s="344">
        <v>23600</v>
      </c>
      <c r="T95" s="343">
        <f>S95*11*(G95+H95)</f>
        <v>3115200</v>
      </c>
      <c r="U95" s="344">
        <v>20000</v>
      </c>
      <c r="V95" s="343">
        <f>U95*11*(G95+H95)</f>
        <v>2640000</v>
      </c>
      <c r="W95" s="344">
        <v>12000</v>
      </c>
      <c r="X95" s="343">
        <f>W95*(G95+H95)</f>
        <v>144000</v>
      </c>
      <c r="Y95" s="344">
        <v>20000</v>
      </c>
      <c r="Z95" s="335">
        <f>Y95*(G95+H95)</f>
        <v>240000</v>
      </c>
      <c r="AA95" s="344"/>
      <c r="AB95" s="344"/>
      <c r="AC95" s="344">
        <v>200000</v>
      </c>
      <c r="AD95" s="301">
        <f>T95+V95+X95+Z95+AA95+AB95+AC95</f>
        <v>6339200</v>
      </c>
      <c r="AE95" s="301">
        <f>AD95+R95</f>
        <v>6339200</v>
      </c>
    </row>
    <row r="96" spans="1:32" s="373" customFormat="1" ht="111.75" customHeight="1">
      <c r="A96" s="327">
        <v>115</v>
      </c>
      <c r="B96" s="328">
        <v>2</v>
      </c>
      <c r="C96" s="329" t="s">
        <v>304</v>
      </c>
      <c r="D96" s="331" t="s">
        <v>408</v>
      </c>
      <c r="E96" s="331" t="s">
        <v>409</v>
      </c>
      <c r="F96" s="332">
        <v>10</v>
      </c>
      <c r="G96" s="295">
        <v>15</v>
      </c>
      <c r="H96" s="332"/>
      <c r="I96" s="333"/>
      <c r="J96" s="334"/>
      <c r="K96" s="333"/>
      <c r="L96" s="335"/>
      <c r="M96" s="336"/>
      <c r="N96" s="336"/>
      <c r="O96" s="336"/>
      <c r="P96" s="336"/>
      <c r="Q96" s="336"/>
      <c r="R96" s="411"/>
      <c r="S96" s="344">
        <v>23600</v>
      </c>
      <c r="T96" s="343">
        <f>S96*4*(G96+H96)</f>
        <v>1416000</v>
      </c>
      <c r="U96" s="344">
        <v>20000</v>
      </c>
      <c r="V96" s="343">
        <f>U96*4*(G96+H96)</f>
        <v>1200000</v>
      </c>
      <c r="W96" s="344">
        <v>12000</v>
      </c>
      <c r="X96" s="343">
        <f>W96*(G96+H96)</f>
        <v>180000</v>
      </c>
      <c r="Y96" s="344"/>
      <c r="Z96" s="335"/>
      <c r="AA96" s="344"/>
      <c r="AB96" s="344"/>
      <c r="AC96" s="344">
        <v>247283</v>
      </c>
      <c r="AD96" s="301">
        <f>T96+V96+X96+Z96+AA96+AB96+AC96</f>
        <v>3043283</v>
      </c>
      <c r="AE96" s="301">
        <f>AD96+R96</f>
        <v>3043283</v>
      </c>
    </row>
    <row r="97" spans="1:32" s="373" customFormat="1" ht="231" customHeight="1">
      <c r="A97" s="340">
        <v>116</v>
      </c>
      <c r="B97" s="294">
        <v>3</v>
      </c>
      <c r="C97" s="341" t="s">
        <v>385</v>
      </c>
      <c r="D97" s="331" t="s">
        <v>384</v>
      </c>
      <c r="E97" s="331" t="s">
        <v>216</v>
      </c>
      <c r="F97" s="342">
        <v>3</v>
      </c>
      <c r="G97" s="295">
        <v>6</v>
      </c>
      <c r="H97" s="295"/>
      <c r="I97" s="333">
        <v>9000</v>
      </c>
      <c r="J97" s="334">
        <f>I97*F97*(G97+H97)</f>
        <v>162000</v>
      </c>
      <c r="K97" s="273">
        <v>8002</v>
      </c>
      <c r="L97" s="335">
        <f>K97*F97*G97</f>
        <v>144036</v>
      </c>
      <c r="M97" s="273">
        <v>6402</v>
      </c>
      <c r="N97" s="336">
        <f>M97*H97*F97</f>
        <v>0</v>
      </c>
      <c r="O97" s="336">
        <v>10000</v>
      </c>
      <c r="P97" s="336">
        <f>O97*H97*2</f>
        <v>0</v>
      </c>
      <c r="Q97" s="336">
        <v>0</v>
      </c>
      <c r="R97" s="411">
        <f>P97+Q97+N97+L97+J97</f>
        <v>306036</v>
      </c>
      <c r="S97" s="344"/>
      <c r="T97" s="343"/>
      <c r="U97" s="344"/>
      <c r="V97" s="343"/>
      <c r="W97" s="344"/>
      <c r="X97" s="343"/>
      <c r="Y97" s="344"/>
      <c r="Z97" s="335"/>
      <c r="AA97" s="344"/>
      <c r="AB97" s="344"/>
      <c r="AC97" s="344"/>
      <c r="AD97" s="301"/>
      <c r="AE97" s="301">
        <f>R97+AD97</f>
        <v>306036</v>
      </c>
    </row>
    <row r="98" spans="1:32" s="373" customFormat="1" ht="321" customHeight="1">
      <c r="A98" s="327">
        <v>117</v>
      </c>
      <c r="B98" s="328">
        <v>4</v>
      </c>
      <c r="C98" s="341" t="s">
        <v>321</v>
      </c>
      <c r="D98" s="299" t="s">
        <v>402</v>
      </c>
      <c r="E98" s="331" t="s">
        <v>338</v>
      </c>
      <c r="F98" s="342">
        <v>12</v>
      </c>
      <c r="G98" s="295">
        <v>8</v>
      </c>
      <c r="H98" s="295"/>
      <c r="I98" s="333">
        <v>9000</v>
      </c>
      <c r="J98" s="334">
        <f>I98*F98*(G98+H98)</f>
        <v>864000</v>
      </c>
      <c r="K98" s="273">
        <v>8002</v>
      </c>
      <c r="L98" s="335">
        <f>K98*F98*G98</f>
        <v>768192</v>
      </c>
      <c r="M98" s="273">
        <v>6402</v>
      </c>
      <c r="N98" s="336">
        <f>M98*H98*F98</f>
        <v>0</v>
      </c>
      <c r="O98" s="336">
        <v>10000</v>
      </c>
      <c r="P98" s="336">
        <f>O98*H98*2</f>
        <v>0</v>
      </c>
      <c r="Q98" s="336">
        <v>0</v>
      </c>
      <c r="R98" s="411">
        <f>P98+Q98+N98+L98+J98</f>
        <v>1632192</v>
      </c>
      <c r="S98" s="344"/>
      <c r="T98" s="343"/>
      <c r="U98" s="344"/>
      <c r="V98" s="343"/>
      <c r="W98" s="344"/>
      <c r="X98" s="343"/>
      <c r="Y98" s="344"/>
      <c r="Z98" s="335"/>
      <c r="AA98" s="344"/>
      <c r="AB98" s="344"/>
      <c r="AC98" s="344"/>
      <c r="AD98" s="301"/>
      <c r="AE98" s="301">
        <f>R98+AD98</f>
        <v>1632192</v>
      </c>
    </row>
    <row r="99" spans="1:32" s="373" customFormat="1" ht="138" customHeight="1">
      <c r="A99" s="340">
        <v>120</v>
      </c>
      <c r="B99" s="294">
        <v>7</v>
      </c>
      <c r="C99" s="345" t="s">
        <v>410</v>
      </c>
      <c r="D99" s="346" t="s">
        <v>310</v>
      </c>
      <c r="E99" s="360" t="s">
        <v>411</v>
      </c>
      <c r="F99" s="347">
        <v>7</v>
      </c>
      <c r="G99" s="374">
        <v>7</v>
      </c>
      <c r="H99" s="374"/>
      <c r="I99" s="349"/>
      <c r="J99" s="350"/>
      <c r="K99" s="349"/>
      <c r="L99" s="351"/>
      <c r="M99" s="352"/>
      <c r="N99" s="352"/>
      <c r="O99" s="352"/>
      <c r="P99" s="352"/>
      <c r="Q99" s="352"/>
      <c r="R99" s="412"/>
      <c r="S99" s="354">
        <v>44000</v>
      </c>
      <c r="T99" s="353">
        <f>S99*F99*(G99+H99)</f>
        <v>2156000</v>
      </c>
      <c r="U99" s="354">
        <v>20000</v>
      </c>
      <c r="V99" s="353">
        <f>U99*F99*(G99+H99)</f>
        <v>980000</v>
      </c>
      <c r="W99" s="354">
        <v>14000</v>
      </c>
      <c r="X99" s="353">
        <f>W99*(G99+H99)</f>
        <v>98000</v>
      </c>
      <c r="Y99" s="354">
        <v>250000</v>
      </c>
      <c r="Z99" s="351">
        <f>Y99*(G99+H99)</f>
        <v>1750000</v>
      </c>
      <c r="AA99" s="354"/>
      <c r="AB99" s="354">
        <v>0</v>
      </c>
      <c r="AC99" s="354">
        <f>13080*G99</f>
        <v>91560</v>
      </c>
      <c r="AD99" s="355">
        <f>T99+V99+X99+Z99+AA99+AB99+AC99</f>
        <v>5075560</v>
      </c>
      <c r="AE99" s="355">
        <f>AD99+R99</f>
        <v>5075560</v>
      </c>
    </row>
    <row r="100" spans="1:32" s="283" customFormat="1" ht="75" customHeight="1">
      <c r="A100" s="1644" t="s">
        <v>233</v>
      </c>
      <c r="B100" s="1644"/>
      <c r="C100" s="1644"/>
      <c r="D100" s="1644"/>
      <c r="E100" s="1644"/>
      <c r="F100" s="1644"/>
      <c r="G100" s="1644"/>
      <c r="H100" s="326"/>
      <c r="I100" s="281"/>
      <c r="J100" s="281">
        <f>SUM(J95:J99)</f>
        <v>1026000</v>
      </c>
      <c r="K100" s="281"/>
      <c r="L100" s="281">
        <f>SUM(L95:L99)</f>
        <v>912228</v>
      </c>
      <c r="M100" s="281"/>
      <c r="N100" s="281">
        <f>SUM(N95:N99)</f>
        <v>0</v>
      </c>
      <c r="O100" s="280"/>
      <c r="P100" s="280">
        <f>SUM(P95:P99)</f>
        <v>0</v>
      </c>
      <c r="Q100" s="280">
        <f>SUM(Q95:Q99)</f>
        <v>0</v>
      </c>
      <c r="R100" s="280">
        <f>J100+L100+N100+P100+Q100</f>
        <v>1938228</v>
      </c>
      <c r="S100" s="280"/>
      <c r="T100" s="280">
        <f>SUM(T95:T99)</f>
        <v>6687200</v>
      </c>
      <c r="U100" s="280"/>
      <c r="V100" s="280">
        <f>SUM(V95:V99)</f>
        <v>4820000</v>
      </c>
      <c r="W100" s="280"/>
      <c r="X100" s="280">
        <f>SUM(X95:X99)</f>
        <v>422000</v>
      </c>
      <c r="Y100" s="280"/>
      <c r="Z100" s="280">
        <f>SUM(Z95:Z99)</f>
        <v>1990000</v>
      </c>
      <c r="AA100" s="280">
        <f>SUM(AA95:AA99)</f>
        <v>0</v>
      </c>
      <c r="AB100" s="281">
        <f>SUM(AB95:AB99)</f>
        <v>0</v>
      </c>
      <c r="AC100" s="281">
        <f>SUM(AC95:AC99)</f>
        <v>538843</v>
      </c>
      <c r="AD100" s="281">
        <f>T100+V100+X100+Z100+AA100+AB100+AC100</f>
        <v>14458043</v>
      </c>
      <c r="AE100" s="280">
        <f>R100+AD100</f>
        <v>16396271</v>
      </c>
      <c r="AF100" s="282"/>
    </row>
    <row r="101" spans="1:32" s="283" customFormat="1" ht="75" customHeight="1">
      <c r="A101" s="1643" t="s">
        <v>418</v>
      </c>
      <c r="B101" s="1643"/>
      <c r="C101" s="1643"/>
      <c r="D101" s="1643"/>
      <c r="E101" s="1643"/>
      <c r="F101" s="1643"/>
      <c r="G101" s="1643"/>
      <c r="H101" s="1643"/>
      <c r="I101" s="1643"/>
      <c r="J101" s="1643"/>
      <c r="K101" s="1643"/>
      <c r="L101" s="1643"/>
      <c r="M101" s="1643"/>
      <c r="N101" s="1643"/>
      <c r="O101" s="1643"/>
      <c r="P101" s="1643"/>
      <c r="Q101" s="1643"/>
      <c r="R101" s="1643"/>
      <c r="S101" s="1643"/>
      <c r="T101" s="1643"/>
      <c r="U101" s="1643"/>
      <c r="V101" s="1643"/>
      <c r="W101" s="1643"/>
      <c r="X101" s="1643"/>
      <c r="Y101" s="1643"/>
      <c r="Z101" s="1643"/>
      <c r="AA101" s="1643"/>
      <c r="AB101" s="1643"/>
      <c r="AC101" s="1643"/>
      <c r="AD101" s="1643"/>
      <c r="AE101" s="1643"/>
      <c r="AF101" s="282"/>
    </row>
    <row r="102" spans="1:32" s="267" customFormat="1" ht="210.75" customHeight="1">
      <c r="A102" s="327">
        <v>129</v>
      </c>
      <c r="B102" s="294">
        <v>1</v>
      </c>
      <c r="C102" s="341" t="s">
        <v>330</v>
      </c>
      <c r="D102" s="331" t="s">
        <v>408</v>
      </c>
      <c r="E102" s="331" t="s">
        <v>409</v>
      </c>
      <c r="F102" s="342">
        <v>16</v>
      </c>
      <c r="G102" s="295">
        <v>8</v>
      </c>
      <c r="H102" s="295"/>
      <c r="I102" s="333"/>
      <c r="J102" s="334"/>
      <c r="K102" s="335"/>
      <c r="L102" s="335"/>
      <c r="M102" s="336"/>
      <c r="N102" s="336"/>
      <c r="O102" s="336"/>
      <c r="P102" s="336"/>
      <c r="Q102" s="336"/>
      <c r="R102" s="411"/>
      <c r="S102" s="344">
        <v>23600</v>
      </c>
      <c r="T102" s="343">
        <f>S102*11*(G102+H102)</f>
        <v>2076800</v>
      </c>
      <c r="U102" s="344">
        <v>20000</v>
      </c>
      <c r="V102" s="343">
        <f>U102*11*(G102+H102)</f>
        <v>1760000</v>
      </c>
      <c r="W102" s="344">
        <v>12000</v>
      </c>
      <c r="X102" s="343">
        <f>W102*(G102+H102)</f>
        <v>96000</v>
      </c>
      <c r="Y102" s="344"/>
      <c r="Z102" s="335"/>
      <c r="AA102" s="344"/>
      <c r="AB102" s="344"/>
      <c r="AC102" s="344">
        <v>53000</v>
      </c>
      <c r="AD102" s="301">
        <f>T102+V102+X102+Z102+AA102+AB102+AC102</f>
        <v>3985800</v>
      </c>
      <c r="AE102" s="301">
        <f>AD102+R102</f>
        <v>3985800</v>
      </c>
      <c r="AF102" s="266"/>
    </row>
    <row r="103" spans="1:32" s="304" customFormat="1" ht="133.5">
      <c r="A103" s="327">
        <v>130</v>
      </c>
      <c r="B103" s="328">
        <v>2</v>
      </c>
      <c r="C103" s="329" t="s">
        <v>304</v>
      </c>
      <c r="D103" s="331" t="s">
        <v>408</v>
      </c>
      <c r="E103" s="331" t="s">
        <v>409</v>
      </c>
      <c r="F103" s="332">
        <v>6</v>
      </c>
      <c r="G103" s="295">
        <v>8</v>
      </c>
      <c r="H103" s="332"/>
      <c r="I103" s="333"/>
      <c r="J103" s="334"/>
      <c r="K103" s="333"/>
      <c r="L103" s="335"/>
      <c r="M103" s="336"/>
      <c r="N103" s="336"/>
      <c r="O103" s="336"/>
      <c r="P103" s="336"/>
      <c r="Q103" s="336"/>
      <c r="R103" s="411"/>
      <c r="S103" s="344">
        <v>23600</v>
      </c>
      <c r="T103" s="343">
        <f>S103*4*(G103+H103)</f>
        <v>755200</v>
      </c>
      <c r="U103" s="344">
        <v>20000</v>
      </c>
      <c r="V103" s="343">
        <f>U103*4*(G103+H103)</f>
        <v>640000</v>
      </c>
      <c r="W103" s="344"/>
      <c r="X103" s="343"/>
      <c r="Y103" s="344"/>
      <c r="Z103" s="335"/>
      <c r="AA103" s="344"/>
      <c r="AB103" s="344"/>
      <c r="AC103" s="344">
        <f>G103*13080</f>
        <v>104640</v>
      </c>
      <c r="AD103" s="301">
        <f>T103+V103+X103+Z103+AA103+AB103+AC103</f>
        <v>1499840</v>
      </c>
      <c r="AE103" s="301">
        <f>AD103+R103</f>
        <v>1499840</v>
      </c>
      <c r="AF103" s="303"/>
    </row>
    <row r="104" spans="1:32" s="304" customFormat="1" ht="267">
      <c r="A104" s="327">
        <v>131</v>
      </c>
      <c r="B104" s="294">
        <v>3</v>
      </c>
      <c r="C104" s="341" t="s">
        <v>385</v>
      </c>
      <c r="D104" s="331" t="s">
        <v>384</v>
      </c>
      <c r="E104" s="331" t="s">
        <v>216</v>
      </c>
      <c r="F104" s="342">
        <v>3</v>
      </c>
      <c r="G104" s="295">
        <v>4</v>
      </c>
      <c r="H104" s="295"/>
      <c r="I104" s="333">
        <v>9000</v>
      </c>
      <c r="J104" s="334">
        <f>I104*F104*(G104+H104)</f>
        <v>108000</v>
      </c>
      <c r="K104" s="273">
        <v>8002</v>
      </c>
      <c r="L104" s="335">
        <f>K104*F104*G104</f>
        <v>96024</v>
      </c>
      <c r="M104" s="273">
        <v>6402</v>
      </c>
      <c r="N104" s="336">
        <f>M104*H104*F104</f>
        <v>0</v>
      </c>
      <c r="O104" s="336">
        <v>10000</v>
      </c>
      <c r="P104" s="336">
        <f>O104*H104*2</f>
        <v>0</v>
      </c>
      <c r="Q104" s="336">
        <v>0</v>
      </c>
      <c r="R104" s="411">
        <f>P104+Q104+N104+L104+J104</f>
        <v>204024</v>
      </c>
      <c r="S104" s="344"/>
      <c r="T104" s="343"/>
      <c r="U104" s="344"/>
      <c r="V104" s="343"/>
      <c r="W104" s="344"/>
      <c r="X104" s="343"/>
      <c r="Y104" s="344"/>
      <c r="Z104" s="335"/>
      <c r="AA104" s="344"/>
      <c r="AB104" s="344"/>
      <c r="AC104" s="344"/>
      <c r="AD104" s="301"/>
      <c r="AE104" s="301">
        <f>R104+AD104</f>
        <v>204024</v>
      </c>
      <c r="AF104" s="303"/>
    </row>
    <row r="105" spans="1:32" s="267" customFormat="1" ht="409.5">
      <c r="A105" s="327">
        <v>132</v>
      </c>
      <c r="B105" s="328">
        <v>4</v>
      </c>
      <c r="C105" s="341" t="s">
        <v>321</v>
      </c>
      <c r="D105" s="299" t="s">
        <v>402</v>
      </c>
      <c r="E105" s="331" t="s">
        <v>338</v>
      </c>
      <c r="F105" s="342">
        <v>18</v>
      </c>
      <c r="G105" s="295">
        <v>4</v>
      </c>
      <c r="H105" s="295"/>
      <c r="I105" s="333">
        <v>9000</v>
      </c>
      <c r="J105" s="334">
        <f>I105*F105*(G105+H105)</f>
        <v>648000</v>
      </c>
      <c r="K105" s="273">
        <v>8002</v>
      </c>
      <c r="L105" s="335">
        <f>K105*F105*G105</f>
        <v>576144</v>
      </c>
      <c r="M105" s="273">
        <v>6402</v>
      </c>
      <c r="N105" s="336">
        <f>M105*H105*F105</f>
        <v>0</v>
      </c>
      <c r="O105" s="336">
        <v>10000</v>
      </c>
      <c r="P105" s="336">
        <f>O105*H105*2</f>
        <v>0</v>
      </c>
      <c r="Q105" s="336">
        <v>0</v>
      </c>
      <c r="R105" s="411">
        <f>P105+Q105+N105+L105+J105</f>
        <v>1224144</v>
      </c>
      <c r="S105" s="344"/>
      <c r="T105" s="343"/>
      <c r="U105" s="344"/>
      <c r="V105" s="343"/>
      <c r="W105" s="344"/>
      <c r="X105" s="343"/>
      <c r="Y105" s="344"/>
      <c r="Z105" s="335"/>
      <c r="AA105" s="344"/>
      <c r="AB105" s="344"/>
      <c r="AC105" s="344"/>
      <c r="AD105" s="301"/>
      <c r="AE105" s="301">
        <f>R105+AD105</f>
        <v>1224144</v>
      </c>
      <c r="AF105" s="266"/>
    </row>
    <row r="106" spans="1:32" s="379" customFormat="1" ht="179.45" customHeight="1">
      <c r="A106" s="327">
        <v>134</v>
      </c>
      <c r="B106" s="294">
        <v>6</v>
      </c>
      <c r="C106" s="305" t="s">
        <v>301</v>
      </c>
      <c r="D106" s="306" t="s">
        <v>347</v>
      </c>
      <c r="E106" s="306" t="s">
        <v>339</v>
      </c>
      <c r="F106" s="316">
        <v>18</v>
      </c>
      <c r="G106" s="357">
        <v>4</v>
      </c>
      <c r="H106" s="357"/>
      <c r="I106" s="307">
        <v>0</v>
      </c>
      <c r="J106" s="276">
        <v>0</v>
      </c>
      <c r="K106" s="378">
        <v>0</v>
      </c>
      <c r="L106" s="319">
        <v>0</v>
      </c>
      <c r="M106" s="277">
        <v>0</v>
      </c>
      <c r="N106" s="277">
        <v>0</v>
      </c>
      <c r="O106" s="277">
        <v>0</v>
      </c>
      <c r="P106" s="277">
        <v>0</v>
      </c>
      <c r="Q106" s="277">
        <v>0</v>
      </c>
      <c r="R106" s="287">
        <v>0</v>
      </c>
      <c r="S106" s="344">
        <f>50*540</f>
        <v>27000</v>
      </c>
      <c r="T106" s="375">
        <f>S106*F106*(G106+H106)</f>
        <v>1944000</v>
      </c>
      <c r="U106" s="344">
        <v>15000</v>
      </c>
      <c r="V106" s="375">
        <f>U106*F106*(G106+H106)</f>
        <v>1080000</v>
      </c>
      <c r="W106" s="344">
        <v>15000</v>
      </c>
      <c r="X106" s="375">
        <f>W106*(G106+H106)</f>
        <v>60000</v>
      </c>
      <c r="Y106" s="344">
        <v>300000</v>
      </c>
      <c r="Z106" s="319">
        <f>Y106*(G106+H106)</f>
        <v>1200000</v>
      </c>
      <c r="AA106" s="344">
        <v>0</v>
      </c>
      <c r="AB106" s="344">
        <v>0</v>
      </c>
      <c r="AC106" s="344">
        <v>0</v>
      </c>
      <c r="AD106" s="370">
        <f t="shared" ref="AD106:AD112" si="9">T106+V106+X106+Z106+AA106+AB106+AC106</f>
        <v>4284000</v>
      </c>
      <c r="AE106" s="370">
        <f t="shared" ref="AE106:AE112" si="10">AD106+R106</f>
        <v>4284000</v>
      </c>
    </row>
    <row r="107" spans="1:32" s="380" customFormat="1" ht="409.5">
      <c r="A107" s="327">
        <v>135</v>
      </c>
      <c r="B107" s="328">
        <v>7</v>
      </c>
      <c r="C107" s="377" t="s">
        <v>330</v>
      </c>
      <c r="D107" s="330" t="s">
        <v>386</v>
      </c>
      <c r="E107" s="306" t="s">
        <v>338</v>
      </c>
      <c r="F107" s="332">
        <v>16</v>
      </c>
      <c r="G107" s="357">
        <v>10</v>
      </c>
      <c r="H107" s="332"/>
      <c r="I107" s="307">
        <v>9000</v>
      </c>
      <c r="J107" s="276">
        <f>I107*F107*(G107+H107)</f>
        <v>1440000</v>
      </c>
      <c r="K107" s="378">
        <v>7658</v>
      </c>
      <c r="L107" s="319">
        <f>K107*F107*G107</f>
        <v>1225280</v>
      </c>
      <c r="M107" s="277">
        <v>5834</v>
      </c>
      <c r="N107" s="277">
        <f>M107*H107*F107</f>
        <v>0</v>
      </c>
      <c r="O107" s="277">
        <v>10000</v>
      </c>
      <c r="P107" s="277">
        <f>O107*H107*2</f>
        <v>0</v>
      </c>
      <c r="Q107" s="277">
        <v>0</v>
      </c>
      <c r="R107" s="287">
        <f>P107+Q107+N107+L107+J107</f>
        <v>2665280</v>
      </c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370">
        <f t="shared" si="9"/>
        <v>0</v>
      </c>
      <c r="AE107" s="370">
        <f t="shared" si="10"/>
        <v>2665280</v>
      </c>
    </row>
    <row r="108" spans="1:32" s="381" customFormat="1" ht="174.6" customHeight="1">
      <c r="A108" s="327">
        <v>137</v>
      </c>
      <c r="B108" s="328">
        <v>9</v>
      </c>
      <c r="C108" s="305" t="s">
        <v>412</v>
      </c>
      <c r="D108" s="306" t="s">
        <v>351</v>
      </c>
      <c r="E108" s="306" t="s">
        <v>413</v>
      </c>
      <c r="F108" s="316">
        <v>10</v>
      </c>
      <c r="G108" s="357">
        <v>10</v>
      </c>
      <c r="H108" s="357"/>
      <c r="I108" s="307">
        <v>0</v>
      </c>
      <c r="J108" s="276">
        <v>0</v>
      </c>
      <c r="K108" s="378">
        <v>0</v>
      </c>
      <c r="L108" s="319">
        <v>0</v>
      </c>
      <c r="M108" s="277">
        <v>0</v>
      </c>
      <c r="N108" s="277">
        <v>0</v>
      </c>
      <c r="O108" s="277">
        <v>0</v>
      </c>
      <c r="P108" s="277">
        <v>0</v>
      </c>
      <c r="Q108" s="277">
        <v>0</v>
      </c>
      <c r="R108" s="287">
        <v>0</v>
      </c>
      <c r="S108" s="344">
        <f>80*450</f>
        <v>36000</v>
      </c>
      <c r="T108" s="375">
        <f>S108*F108*(G108+H108)</f>
        <v>3600000</v>
      </c>
      <c r="U108" s="344">
        <v>20000</v>
      </c>
      <c r="V108" s="375">
        <f>U108*F108*(G108+H108)</f>
        <v>2000000</v>
      </c>
      <c r="W108" s="344">
        <v>15000</v>
      </c>
      <c r="X108" s="375">
        <f>W108*(G108+H108)</f>
        <v>150000</v>
      </c>
      <c r="Y108" s="344">
        <v>700000</v>
      </c>
      <c r="Z108" s="319">
        <f>Y108*(G108+H108)</f>
        <v>7000000</v>
      </c>
      <c r="AA108" s="344">
        <f>35000*(G108+H108)</f>
        <v>350000</v>
      </c>
      <c r="AB108" s="344">
        <v>0</v>
      </c>
      <c r="AC108" s="344">
        <v>0</v>
      </c>
      <c r="AD108" s="370">
        <f t="shared" si="9"/>
        <v>13100000</v>
      </c>
      <c r="AE108" s="370">
        <f t="shared" si="10"/>
        <v>13100000</v>
      </c>
    </row>
    <row r="109" spans="1:32" s="381" customFormat="1" ht="409.5">
      <c r="A109" s="327">
        <v>138</v>
      </c>
      <c r="B109" s="294">
        <v>10</v>
      </c>
      <c r="C109" s="305" t="s">
        <v>330</v>
      </c>
      <c r="D109" s="299" t="s">
        <v>414</v>
      </c>
      <c r="E109" s="306" t="s">
        <v>338</v>
      </c>
      <c r="F109" s="316"/>
      <c r="G109" s="357"/>
      <c r="H109" s="357"/>
      <c r="I109" s="307"/>
      <c r="J109" s="276"/>
      <c r="K109" s="378"/>
      <c r="L109" s="319"/>
      <c r="M109" s="277"/>
      <c r="N109" s="277"/>
      <c r="O109" s="277"/>
      <c r="P109" s="277"/>
      <c r="Q109" s="277"/>
      <c r="R109" s="287"/>
      <c r="S109" s="344"/>
      <c r="T109" s="375"/>
      <c r="U109" s="344"/>
      <c r="V109" s="375"/>
      <c r="W109" s="344"/>
      <c r="X109" s="375"/>
      <c r="Y109" s="344"/>
      <c r="Z109" s="319"/>
      <c r="AA109" s="344"/>
      <c r="AB109" s="344"/>
      <c r="AC109" s="344"/>
      <c r="AD109" s="370">
        <f t="shared" si="9"/>
        <v>0</v>
      </c>
      <c r="AE109" s="370">
        <f t="shared" si="10"/>
        <v>0</v>
      </c>
    </row>
    <row r="110" spans="1:32" s="381" customFormat="1" ht="179.45" customHeight="1">
      <c r="A110" s="327">
        <v>139</v>
      </c>
      <c r="B110" s="328">
        <v>11</v>
      </c>
      <c r="C110" s="305" t="s">
        <v>341</v>
      </c>
      <c r="D110" s="299" t="s">
        <v>414</v>
      </c>
      <c r="E110" s="306" t="s">
        <v>415</v>
      </c>
      <c r="F110" s="316">
        <v>7</v>
      </c>
      <c r="G110" s="357">
        <v>12</v>
      </c>
      <c r="H110" s="357"/>
      <c r="I110" s="307">
        <v>0</v>
      </c>
      <c r="J110" s="276">
        <v>0</v>
      </c>
      <c r="K110" s="378">
        <v>0</v>
      </c>
      <c r="L110" s="319">
        <v>0</v>
      </c>
      <c r="M110" s="277">
        <v>0</v>
      </c>
      <c r="N110" s="277">
        <v>0</v>
      </c>
      <c r="O110" s="277">
        <v>0</v>
      </c>
      <c r="P110" s="277">
        <v>0</v>
      </c>
      <c r="Q110" s="277">
        <v>0</v>
      </c>
      <c r="R110" s="287">
        <v>0</v>
      </c>
      <c r="S110" s="344">
        <f>100*540</f>
        <v>54000</v>
      </c>
      <c r="T110" s="375">
        <f>S110*F110*(G110+H110)</f>
        <v>4536000</v>
      </c>
      <c r="U110" s="344">
        <v>20000</v>
      </c>
      <c r="V110" s="375">
        <f>U110*F110*(G110+H110)</f>
        <v>1680000</v>
      </c>
      <c r="W110" s="344">
        <v>15000</v>
      </c>
      <c r="X110" s="375">
        <f>W110*(G110+H110)</f>
        <v>180000</v>
      </c>
      <c r="Y110" s="344">
        <v>800000</v>
      </c>
      <c r="Z110" s="319">
        <f>Y110*(G110+H110)</f>
        <v>9600000</v>
      </c>
      <c r="AA110" s="344">
        <f>35000*(G110+H110)</f>
        <v>420000</v>
      </c>
      <c r="AB110" s="344">
        <v>0</v>
      </c>
      <c r="AC110" s="344">
        <v>0</v>
      </c>
      <c r="AD110" s="370">
        <f t="shared" si="9"/>
        <v>16416000</v>
      </c>
      <c r="AE110" s="370">
        <f t="shared" si="10"/>
        <v>16416000</v>
      </c>
    </row>
    <row r="111" spans="1:32" s="381" customFormat="1" ht="409.5">
      <c r="A111" s="327">
        <v>140</v>
      </c>
      <c r="B111" s="294">
        <v>12</v>
      </c>
      <c r="C111" s="305" t="s">
        <v>312</v>
      </c>
      <c r="D111" s="299" t="s">
        <v>416</v>
      </c>
      <c r="E111" s="306" t="s">
        <v>338</v>
      </c>
      <c r="F111" s="316">
        <v>18</v>
      </c>
      <c r="G111" s="357">
        <v>18</v>
      </c>
      <c r="H111" s="357"/>
      <c r="I111" s="307">
        <v>9000</v>
      </c>
      <c r="J111" s="276">
        <f>I111*F111*(H111+G111)</f>
        <v>2916000</v>
      </c>
      <c r="K111" s="378">
        <v>7658</v>
      </c>
      <c r="L111" s="319">
        <f>K111*F111*G111</f>
        <v>2481192</v>
      </c>
      <c r="M111" s="277">
        <v>5834</v>
      </c>
      <c r="N111" s="277">
        <f>M111*H111*F111</f>
        <v>0</v>
      </c>
      <c r="O111" s="277">
        <v>10000</v>
      </c>
      <c r="P111" s="277">
        <f>O111*H111*2</f>
        <v>0</v>
      </c>
      <c r="Q111" s="277">
        <v>0</v>
      </c>
      <c r="R111" s="287">
        <f>Q111+P111+N111+L111+J111</f>
        <v>5397192</v>
      </c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82"/>
      <c r="AD111" s="370">
        <f t="shared" si="9"/>
        <v>0</v>
      </c>
      <c r="AE111" s="370">
        <f t="shared" si="10"/>
        <v>5397192</v>
      </c>
    </row>
    <row r="112" spans="1:32" s="381" customFormat="1" ht="200.25">
      <c r="A112" s="327">
        <v>141</v>
      </c>
      <c r="B112" s="328">
        <v>13</v>
      </c>
      <c r="C112" s="305" t="s">
        <v>334</v>
      </c>
      <c r="D112" s="299" t="s">
        <v>417</v>
      </c>
      <c r="E112" s="306" t="s">
        <v>335</v>
      </c>
      <c r="F112" s="316">
        <v>18</v>
      </c>
      <c r="G112" s="357">
        <v>15</v>
      </c>
      <c r="H112" s="357"/>
      <c r="I112" s="307">
        <v>0</v>
      </c>
      <c r="J112" s="276">
        <v>0</v>
      </c>
      <c r="K112" s="378">
        <v>0</v>
      </c>
      <c r="L112" s="319">
        <v>0</v>
      </c>
      <c r="M112" s="277">
        <v>0</v>
      </c>
      <c r="N112" s="277">
        <v>0</v>
      </c>
      <c r="O112" s="277">
        <v>0</v>
      </c>
      <c r="P112" s="277">
        <v>0</v>
      </c>
      <c r="Q112" s="277">
        <v>0</v>
      </c>
      <c r="R112" s="287">
        <v>0</v>
      </c>
      <c r="S112" s="344">
        <f>150*540</f>
        <v>81000</v>
      </c>
      <c r="T112" s="375">
        <f>S112*F112*(G112+H112)</f>
        <v>21870000</v>
      </c>
      <c r="U112" s="344">
        <v>30000</v>
      </c>
      <c r="V112" s="375">
        <f>U112*F112*(G112+H112)</f>
        <v>8100000</v>
      </c>
      <c r="W112" s="344">
        <v>15000</v>
      </c>
      <c r="X112" s="375">
        <f>W112*(G112+H112)</f>
        <v>225000</v>
      </c>
      <c r="Y112" s="344">
        <v>800000</v>
      </c>
      <c r="Z112" s="319">
        <f>Y112*(G112+H112)</f>
        <v>12000000</v>
      </c>
      <c r="AA112" s="344">
        <f>35000*(G112+H112)</f>
        <v>525000</v>
      </c>
      <c r="AB112" s="344">
        <v>0</v>
      </c>
      <c r="AC112" s="344">
        <v>0</v>
      </c>
      <c r="AD112" s="370">
        <f t="shared" si="9"/>
        <v>42720000</v>
      </c>
      <c r="AE112" s="370">
        <f t="shared" si="10"/>
        <v>42720000</v>
      </c>
    </row>
    <row r="113" spans="1:34" s="283" customFormat="1" ht="75" customHeight="1">
      <c r="A113" s="1644" t="s">
        <v>233</v>
      </c>
      <c r="B113" s="1644"/>
      <c r="C113" s="1644"/>
      <c r="D113" s="1644"/>
      <c r="E113" s="1644"/>
      <c r="F113" s="1644"/>
      <c r="G113" s="1644"/>
      <c r="H113" s="326"/>
      <c r="I113" s="281"/>
      <c r="J113" s="281">
        <f>SUM(J102:J112)</f>
        <v>5112000</v>
      </c>
      <c r="K113" s="281"/>
      <c r="L113" s="281">
        <f>SUM(L102:L112)</f>
        <v>4378640</v>
      </c>
      <c r="M113" s="281"/>
      <c r="N113" s="281">
        <f>SUM(N102:N112)</f>
        <v>0</v>
      </c>
      <c r="O113" s="280"/>
      <c r="P113" s="280">
        <f>SUM(P102:P112)</f>
        <v>0</v>
      </c>
      <c r="Q113" s="280">
        <f>SUM(Q102:Q112)</f>
        <v>0</v>
      </c>
      <c r="R113" s="280">
        <f>J113+L113+N113+P113+Q113</f>
        <v>9490640</v>
      </c>
      <c r="S113" s="280"/>
      <c r="T113" s="280">
        <f>SUM(T102:T112)</f>
        <v>34782000</v>
      </c>
      <c r="U113" s="280"/>
      <c r="V113" s="280">
        <f>SUM(V102:V112)</f>
        <v>15260000</v>
      </c>
      <c r="W113" s="280"/>
      <c r="X113" s="280">
        <f>SUM(X102:X112)</f>
        <v>711000</v>
      </c>
      <c r="Y113" s="280"/>
      <c r="Z113" s="280">
        <f>SUM(Z102:Z112)</f>
        <v>29800000</v>
      </c>
      <c r="AA113" s="280">
        <f>SUM(AA102:AA112)</f>
        <v>1295000</v>
      </c>
      <c r="AB113" s="281">
        <f>SUM(AB106:AB112)</f>
        <v>0</v>
      </c>
      <c r="AC113" s="281">
        <f>SUM(AC102:AC112)</f>
        <v>157640</v>
      </c>
      <c r="AD113" s="281">
        <f>T113+V113+X113+Z113+AA113+AB113+AC113</f>
        <v>82005640</v>
      </c>
      <c r="AE113" s="280">
        <f>R113+AD113</f>
        <v>91496280</v>
      </c>
      <c r="AF113" s="282"/>
    </row>
    <row r="114" spans="1:34" s="283" customFormat="1" ht="75" customHeight="1">
      <c r="A114" s="1643" t="s">
        <v>419</v>
      </c>
      <c r="B114" s="1643"/>
      <c r="C114" s="1643"/>
      <c r="D114" s="1643"/>
      <c r="E114" s="1643"/>
      <c r="F114" s="1643"/>
      <c r="G114" s="1643"/>
      <c r="H114" s="1643"/>
      <c r="I114" s="1643"/>
      <c r="J114" s="1643"/>
      <c r="K114" s="1643"/>
      <c r="L114" s="1643"/>
      <c r="M114" s="1643"/>
      <c r="N114" s="1643"/>
      <c r="O114" s="1643"/>
      <c r="P114" s="1643"/>
      <c r="Q114" s="1643"/>
      <c r="R114" s="1643"/>
      <c r="S114" s="1643"/>
      <c r="T114" s="1643"/>
      <c r="U114" s="1643"/>
      <c r="V114" s="1643"/>
      <c r="W114" s="1643"/>
      <c r="X114" s="1643"/>
      <c r="Y114" s="1643"/>
      <c r="Z114" s="1643"/>
      <c r="AA114" s="1643"/>
      <c r="AB114" s="1643"/>
      <c r="AC114" s="1643"/>
      <c r="AD114" s="1643"/>
      <c r="AE114" s="1643"/>
      <c r="AF114" s="282"/>
    </row>
    <row r="115" spans="1:34" s="304" customFormat="1" ht="333.75">
      <c r="A115" s="296">
        <v>142</v>
      </c>
      <c r="B115" s="315">
        <v>1</v>
      </c>
      <c r="C115" s="298" t="s">
        <v>330</v>
      </c>
      <c r="D115" s="299" t="s">
        <v>420</v>
      </c>
      <c r="E115" s="299" t="s">
        <v>421</v>
      </c>
      <c r="F115" s="300">
        <v>16</v>
      </c>
      <c r="G115" s="300">
        <v>10</v>
      </c>
      <c r="H115" s="301"/>
      <c r="I115" s="301">
        <v>9000</v>
      </c>
      <c r="J115" s="301">
        <f>I115*F115*(G115+H115)</f>
        <v>1440000</v>
      </c>
      <c r="K115" s="273">
        <v>8002</v>
      </c>
      <c r="L115" s="301">
        <f>SUM(K115*F115*G115)</f>
        <v>1280320</v>
      </c>
      <c r="M115" s="273">
        <v>6402</v>
      </c>
      <c r="N115" s="301">
        <f>M115*F115*H115</f>
        <v>0</v>
      </c>
      <c r="O115" s="302">
        <v>10000</v>
      </c>
      <c r="P115" s="302">
        <f>O115*(G115+H115)</f>
        <v>100000</v>
      </c>
      <c r="Q115" s="302"/>
      <c r="R115" s="409">
        <f>J115+L115+N115+P115+Q115</f>
        <v>2820320</v>
      </c>
      <c r="S115" s="301"/>
      <c r="T115" s="301"/>
      <c r="U115" s="300"/>
      <c r="V115" s="301"/>
      <c r="W115" s="302"/>
      <c r="X115" s="302"/>
      <c r="Y115" s="302"/>
      <c r="Z115" s="302"/>
      <c r="AA115" s="302"/>
      <c r="AB115" s="302"/>
      <c r="AC115" s="302"/>
      <c r="AD115" s="301"/>
      <c r="AE115" s="301">
        <f>AD115+R115</f>
        <v>2820320</v>
      </c>
      <c r="AF115" s="303"/>
    </row>
    <row r="116" spans="1:34" s="267" customFormat="1" ht="133.5">
      <c r="A116" s="296">
        <v>143</v>
      </c>
      <c r="B116" s="315">
        <v>2</v>
      </c>
      <c r="C116" s="298" t="s">
        <v>304</v>
      </c>
      <c r="D116" s="299" t="s">
        <v>408</v>
      </c>
      <c r="E116" s="299" t="s">
        <v>339</v>
      </c>
      <c r="F116" s="300">
        <v>7</v>
      </c>
      <c r="G116" s="300">
        <v>10</v>
      </c>
      <c r="H116" s="301"/>
      <c r="I116" s="301"/>
      <c r="J116" s="301"/>
      <c r="K116" s="301"/>
      <c r="L116" s="301"/>
      <c r="M116" s="301"/>
      <c r="N116" s="301"/>
      <c r="O116" s="302"/>
      <c r="P116" s="302"/>
      <c r="Q116" s="302"/>
      <c r="R116" s="409">
        <f>J116+L116+N116+P116+Q116</f>
        <v>0</v>
      </c>
      <c r="S116" s="301">
        <f>100*540</f>
        <v>54000</v>
      </c>
      <c r="T116" s="301">
        <f>S116*F116*(G116+H116)</f>
        <v>3780000</v>
      </c>
      <c r="U116" s="300">
        <v>23000</v>
      </c>
      <c r="V116" s="301">
        <f>U116*F116*(G116+H116)</f>
        <v>1610000</v>
      </c>
      <c r="W116" s="302">
        <v>1500</v>
      </c>
      <c r="X116" s="302">
        <f>W116*(G116+H116)*F116</f>
        <v>105000</v>
      </c>
      <c r="Y116" s="302">
        <v>300000</v>
      </c>
      <c r="Z116" s="302">
        <f>Y116*(G116+H116)</f>
        <v>3000000</v>
      </c>
      <c r="AA116" s="302">
        <v>20000</v>
      </c>
      <c r="AB116" s="302">
        <v>0</v>
      </c>
      <c r="AC116" s="302">
        <v>260690</v>
      </c>
      <c r="AD116" s="301">
        <f>T116+V116+X116+Z116+AA116+AB116+AC116</f>
        <v>8775690</v>
      </c>
      <c r="AE116" s="301">
        <f>AD116+R116</f>
        <v>8775690</v>
      </c>
      <c r="AF116" s="266"/>
    </row>
    <row r="117" spans="1:34" s="278" customFormat="1" ht="409.5">
      <c r="A117" s="296">
        <v>147</v>
      </c>
      <c r="B117" s="315">
        <v>6</v>
      </c>
      <c r="C117" s="383" t="s">
        <v>422</v>
      </c>
      <c r="D117" s="299" t="s">
        <v>414</v>
      </c>
      <c r="E117" s="299" t="s">
        <v>338</v>
      </c>
      <c r="F117" s="369">
        <v>18</v>
      </c>
      <c r="G117" s="384">
        <v>17</v>
      </c>
      <c r="H117" s="301"/>
      <c r="I117" s="370">
        <v>9000</v>
      </c>
      <c r="J117" s="370">
        <f>I117*F117*(G117+H117)</f>
        <v>2754000</v>
      </c>
      <c r="K117" s="370">
        <v>7658</v>
      </c>
      <c r="L117" s="370">
        <f>SUM(K117*F117*G117)</f>
        <v>2343348</v>
      </c>
      <c r="M117" s="370">
        <v>6126</v>
      </c>
      <c r="N117" s="370">
        <f>M117*F117*H117</f>
        <v>0</v>
      </c>
      <c r="O117" s="302">
        <v>10000</v>
      </c>
      <c r="P117" s="302">
        <f>O117*(G117+H117)</f>
        <v>170000</v>
      </c>
      <c r="Q117" s="302">
        <v>0</v>
      </c>
      <c r="R117" s="376">
        <f>J117+L117+N117+P117+Q117</f>
        <v>5267348</v>
      </c>
      <c r="S117" s="369"/>
      <c r="T117" s="370"/>
      <c r="U117" s="369"/>
      <c r="V117" s="370"/>
      <c r="W117" s="302"/>
      <c r="X117" s="302"/>
      <c r="Y117" s="302"/>
      <c r="Z117" s="302"/>
      <c r="AA117" s="302"/>
      <c r="AB117" s="302"/>
      <c r="AC117" s="302"/>
      <c r="AD117" s="370">
        <v>0</v>
      </c>
      <c r="AE117" s="370">
        <f>AD117+R117</f>
        <v>5267348</v>
      </c>
    </row>
    <row r="118" spans="1:34" s="283" customFormat="1" ht="75" customHeight="1">
      <c r="A118" s="1644" t="s">
        <v>233</v>
      </c>
      <c r="B118" s="1644"/>
      <c r="C118" s="1644"/>
      <c r="D118" s="1644"/>
      <c r="E118" s="1644"/>
      <c r="F118" s="1644"/>
      <c r="G118" s="1644"/>
      <c r="H118" s="326"/>
      <c r="I118" s="281"/>
      <c r="J118" s="281">
        <f>SUM(J115:J117)</f>
        <v>4194000</v>
      </c>
      <c r="K118" s="281"/>
      <c r="L118" s="281">
        <f>SUM(L115:L117)</f>
        <v>3623668</v>
      </c>
      <c r="M118" s="281"/>
      <c r="N118" s="281">
        <f>SUM(N115:N117)</f>
        <v>0</v>
      </c>
      <c r="O118" s="280"/>
      <c r="P118" s="280">
        <f>SUM(P115:P117)</f>
        <v>270000</v>
      </c>
      <c r="Q118" s="280">
        <f>SUM(Q115:Q117)</f>
        <v>0</v>
      </c>
      <c r="R118" s="280">
        <f>J118+L118+N118+P118+Q118</f>
        <v>8087668</v>
      </c>
      <c r="S118" s="280"/>
      <c r="T118" s="280">
        <f>SUM(T115:T117)</f>
        <v>3780000</v>
      </c>
      <c r="U118" s="280"/>
      <c r="V118" s="280">
        <f>SUM(V115:V117)</f>
        <v>1610000</v>
      </c>
      <c r="W118" s="280"/>
      <c r="X118" s="280">
        <f>SUM(X115:X117)</f>
        <v>105000</v>
      </c>
      <c r="Y118" s="280"/>
      <c r="Z118" s="280">
        <f>SUM(Z115:Z117)</f>
        <v>3000000</v>
      </c>
      <c r="AA118" s="280">
        <f>SUM(AA116:AA117)</f>
        <v>20000</v>
      </c>
      <c r="AB118" s="281">
        <f>SUM(AB115:AB117)</f>
        <v>0</v>
      </c>
      <c r="AC118" s="281">
        <f>SUM(AC116:AC117)</f>
        <v>260690</v>
      </c>
      <c r="AD118" s="281">
        <f>T118+V118+Z118+AA118+AB118+AC118</f>
        <v>8670690</v>
      </c>
      <c r="AE118" s="280">
        <f>R118+AD118</f>
        <v>16758358</v>
      </c>
      <c r="AF118" s="282"/>
    </row>
    <row r="119" spans="1:34" s="283" customFormat="1" ht="75" customHeight="1">
      <c r="A119" s="1643" t="s">
        <v>424</v>
      </c>
      <c r="B119" s="1643"/>
      <c r="C119" s="1643"/>
      <c r="D119" s="1643"/>
      <c r="E119" s="1643"/>
      <c r="F119" s="1643"/>
      <c r="G119" s="1643"/>
      <c r="H119" s="1643"/>
      <c r="I119" s="1643"/>
      <c r="J119" s="1643"/>
      <c r="K119" s="1643"/>
      <c r="L119" s="1643"/>
      <c r="M119" s="1643"/>
      <c r="N119" s="1643"/>
      <c r="O119" s="1643"/>
      <c r="P119" s="1643"/>
      <c r="Q119" s="1643"/>
      <c r="R119" s="1643"/>
      <c r="S119" s="1643"/>
      <c r="T119" s="1643"/>
      <c r="U119" s="1643"/>
      <c r="V119" s="1643"/>
      <c r="W119" s="1643"/>
      <c r="X119" s="1643"/>
      <c r="Y119" s="1643"/>
      <c r="Z119" s="1643"/>
      <c r="AA119" s="1643"/>
      <c r="AB119" s="1643"/>
      <c r="AC119" s="1643"/>
      <c r="AD119" s="1643"/>
      <c r="AE119" s="1643"/>
      <c r="AF119" s="282"/>
    </row>
    <row r="120" spans="1:34" s="304" customFormat="1" ht="267">
      <c r="A120" s="271">
        <v>155</v>
      </c>
      <c r="B120" s="294">
        <v>3</v>
      </c>
      <c r="C120" s="298" t="s">
        <v>307</v>
      </c>
      <c r="D120" s="299" t="s">
        <v>397</v>
      </c>
      <c r="E120" s="299" t="s">
        <v>425</v>
      </c>
      <c r="F120" s="300">
        <v>18</v>
      </c>
      <c r="G120" s="300">
        <v>15</v>
      </c>
      <c r="H120" s="301"/>
      <c r="I120" s="301">
        <v>9000</v>
      </c>
      <c r="J120" s="301">
        <f>I120*F120*(G120+H120)</f>
        <v>2430000</v>
      </c>
      <c r="K120" s="273">
        <v>8002</v>
      </c>
      <c r="L120" s="301">
        <f>SUM(K120*F120*G120)</f>
        <v>2160540</v>
      </c>
      <c r="M120" s="273">
        <v>6402</v>
      </c>
      <c r="N120" s="301">
        <f>M120*F120*H120</f>
        <v>0</v>
      </c>
      <c r="O120" s="302">
        <v>10000</v>
      </c>
      <c r="P120" s="302">
        <f>O120*(G120+H120)</f>
        <v>150000</v>
      </c>
      <c r="Q120" s="302"/>
      <c r="R120" s="409">
        <f>J120+L120+N120+P120+Q120</f>
        <v>4740540</v>
      </c>
      <c r="S120" s="301"/>
      <c r="T120" s="301"/>
      <c r="U120" s="300"/>
      <c r="V120" s="301"/>
      <c r="W120" s="302"/>
      <c r="X120" s="302"/>
      <c r="Y120" s="302"/>
      <c r="Z120" s="302"/>
      <c r="AA120" s="302"/>
      <c r="AB120" s="302"/>
      <c r="AC120" s="302"/>
      <c r="AD120" s="301"/>
      <c r="AE120" s="301">
        <f>AD120+R120</f>
        <v>4740540</v>
      </c>
      <c r="AF120" s="303"/>
    </row>
    <row r="121" spans="1:34" s="385" customFormat="1" ht="399.75" customHeight="1">
      <c r="A121" s="296">
        <v>161</v>
      </c>
      <c r="B121" s="315">
        <v>9</v>
      </c>
      <c r="C121" s="386" t="s">
        <v>428</v>
      </c>
      <c r="D121" s="384" t="s">
        <v>429</v>
      </c>
      <c r="E121" s="299" t="s">
        <v>430</v>
      </c>
      <c r="F121" s="369">
        <v>18</v>
      </c>
      <c r="G121" s="384">
        <v>15</v>
      </c>
      <c r="H121" s="384"/>
      <c r="I121" s="370">
        <v>9000</v>
      </c>
      <c r="J121" s="370">
        <f>I121*F121*(G121+H121)</f>
        <v>2430000</v>
      </c>
      <c r="K121" s="370">
        <v>7658</v>
      </c>
      <c r="L121" s="370">
        <f>SUM(K121*F121*G121)</f>
        <v>2067660</v>
      </c>
      <c r="M121" s="370">
        <v>6126</v>
      </c>
      <c r="N121" s="370">
        <f>M121*F121*H121</f>
        <v>0</v>
      </c>
      <c r="O121" s="302">
        <v>10000</v>
      </c>
      <c r="P121" s="302">
        <f>O121*(G121+H121)</f>
        <v>150000</v>
      </c>
      <c r="Q121" s="302">
        <v>0</v>
      </c>
      <c r="R121" s="376">
        <f>J121+L121+N121+P121+Q121</f>
        <v>4647660</v>
      </c>
      <c r="S121" s="369"/>
      <c r="T121" s="370"/>
      <c r="U121" s="369"/>
      <c r="V121" s="370"/>
      <c r="W121" s="302"/>
      <c r="X121" s="302"/>
      <c r="Y121" s="302"/>
      <c r="Z121" s="302"/>
      <c r="AA121" s="302"/>
      <c r="AB121" s="302"/>
      <c r="AC121" s="302"/>
      <c r="AD121" s="370">
        <v>0</v>
      </c>
      <c r="AE121" s="370">
        <f>AD121+R121</f>
        <v>4647660</v>
      </c>
      <c r="AF121" s="405"/>
    </row>
    <row r="122" spans="1:34" s="283" customFormat="1" ht="75" customHeight="1">
      <c r="A122" s="1644" t="s">
        <v>233</v>
      </c>
      <c r="B122" s="1644"/>
      <c r="C122" s="1644"/>
      <c r="D122" s="1644"/>
      <c r="E122" s="1644"/>
      <c r="F122" s="1644"/>
      <c r="G122" s="1644"/>
      <c r="H122" s="326"/>
      <c r="I122" s="281"/>
      <c r="J122" s="281">
        <f>SUM(J120:J121)</f>
        <v>4860000</v>
      </c>
      <c r="K122" s="281"/>
      <c r="L122" s="281">
        <f>SUM(L120:L121)</f>
        <v>4228200</v>
      </c>
      <c r="M122" s="281"/>
      <c r="N122" s="281">
        <f>SUM(N120:N121)</f>
        <v>0</v>
      </c>
      <c r="O122" s="280"/>
      <c r="P122" s="280">
        <f>SUM(P120:P121)</f>
        <v>300000</v>
      </c>
      <c r="Q122" s="280">
        <f>SUM(Q121:Q121)</f>
        <v>0</v>
      </c>
      <c r="R122" s="280">
        <f>J122+L122+N122+P122+Q122</f>
        <v>9388200</v>
      </c>
      <c r="S122" s="280"/>
      <c r="T122" s="280">
        <f>SUM(T120:T121)</f>
        <v>0</v>
      </c>
      <c r="U122" s="280"/>
      <c r="V122" s="280">
        <f>SUM(V120:V121)</f>
        <v>0</v>
      </c>
      <c r="W122" s="280"/>
      <c r="X122" s="280">
        <f>SUM(X120:X121)</f>
        <v>0</v>
      </c>
      <c r="Y122" s="280"/>
      <c r="Z122" s="280">
        <f>SUM(Z120:Z121)</f>
        <v>0</v>
      </c>
      <c r="AA122" s="280">
        <f>SUM(AA120:AA121)</f>
        <v>0</v>
      </c>
      <c r="AB122" s="281">
        <f>SUM(AB120:AB121)</f>
        <v>0</v>
      </c>
      <c r="AC122" s="281">
        <f>SUM(AC120:AC121)</f>
        <v>0</v>
      </c>
      <c r="AD122" s="281">
        <f>T122+V122+X122+Z122+AA122+AB122+AC122</f>
        <v>0</v>
      </c>
      <c r="AE122" s="280">
        <f>R122+AD122</f>
        <v>9388200</v>
      </c>
      <c r="AF122" s="406"/>
    </row>
    <row r="123" spans="1:34" s="289" customFormat="1" ht="75" customHeight="1">
      <c r="A123" s="1648" t="s">
        <v>433</v>
      </c>
      <c r="B123" s="1649"/>
      <c r="C123" s="1649"/>
      <c r="D123" s="1649"/>
      <c r="E123" s="1649"/>
      <c r="F123" s="1649"/>
      <c r="G123" s="1649"/>
      <c r="H123" s="1649"/>
      <c r="I123" s="1649"/>
      <c r="J123" s="1649"/>
      <c r="K123" s="1649"/>
      <c r="L123" s="1649"/>
      <c r="M123" s="1649"/>
      <c r="N123" s="1649"/>
      <c r="O123" s="1649"/>
      <c r="P123" s="1649"/>
      <c r="Q123" s="1650"/>
      <c r="R123" s="414"/>
      <c r="S123" s="414"/>
      <c r="T123" s="414"/>
      <c r="U123" s="414"/>
      <c r="V123" s="414"/>
      <c r="W123" s="414"/>
      <c r="X123" s="414"/>
      <c r="Y123" s="414"/>
      <c r="Z123" s="414"/>
      <c r="AA123" s="414"/>
      <c r="AB123" s="414"/>
      <c r="AC123" s="414"/>
      <c r="AD123" s="414"/>
      <c r="AE123" s="288">
        <f>AE15+AE27+AE34+AE45+AE55+AE66+AE78+AE86+AE93+AE100+AE113+AE118+AE122</f>
        <v>454746883</v>
      </c>
      <c r="AF123" s="407">
        <f>AE123</f>
        <v>454746883</v>
      </c>
    </row>
    <row r="124" spans="1:34" s="275" customFormat="1" ht="102" customHeight="1">
      <c r="A124" s="1645" t="s">
        <v>196</v>
      </c>
      <c r="B124" s="1646"/>
      <c r="C124" s="1646"/>
      <c r="D124" s="1646"/>
      <c r="E124" s="1646"/>
      <c r="F124" s="1646"/>
      <c r="G124" s="1646"/>
      <c r="H124" s="1646"/>
      <c r="I124" s="1646"/>
      <c r="J124" s="1646"/>
      <c r="K124" s="1646"/>
      <c r="L124" s="1646"/>
      <c r="M124" s="1646"/>
      <c r="N124" s="1646"/>
      <c r="O124" s="1646"/>
      <c r="P124" s="1647"/>
      <c r="Q124" s="408"/>
      <c r="R124" s="280">
        <f>R122+R118+R113+R100+R93+R86+R78+R66+R55+R45+R34+R27+R15</f>
        <v>93409582</v>
      </c>
      <c r="S124" s="408"/>
      <c r="T124" s="408"/>
      <c r="U124" s="408"/>
      <c r="V124" s="408"/>
      <c r="W124" s="408"/>
      <c r="X124" s="408"/>
      <c r="Y124" s="408"/>
      <c r="Z124" s="408"/>
      <c r="AA124" s="408"/>
      <c r="AB124" s="408"/>
      <c r="AC124" s="408"/>
      <c r="AD124" s="280">
        <f>AD122+AD118+AD113+AD100+AD93+AD86+AD78+AD66+AD55+AD45+AD34+AD27+AD15</f>
        <v>361337301</v>
      </c>
      <c r="AE124" s="280">
        <f>AE122+AE118+AE113+AE100+AE93+AE86+AE78+AE66+AE55+AE45+AE34+AE27+AE15-19883</f>
        <v>454727000</v>
      </c>
      <c r="AF124" s="274">
        <f>SUM(AF6:AF123)</f>
        <v>454746883</v>
      </c>
      <c r="AG124" s="387" t="e">
        <f>#REF!</f>
        <v>#REF!</v>
      </c>
      <c r="AH124" s="387" t="e">
        <f>AF124+AG124</f>
        <v>#REF!</v>
      </c>
    </row>
    <row r="125" spans="1:34" ht="80.25" customHeight="1">
      <c r="C125" s="389"/>
      <c r="D125" s="390"/>
      <c r="E125" s="391"/>
      <c r="Q125" s="393"/>
      <c r="R125" s="280"/>
      <c r="AD125" s="394"/>
      <c r="AE125" s="394"/>
      <c r="AG125" s="481"/>
      <c r="AH125" s="481"/>
    </row>
    <row r="126" spans="1:34" ht="66.75" customHeight="1">
      <c r="D126" s="396"/>
      <c r="E126" s="1642" t="s">
        <v>245</v>
      </c>
      <c r="F126" s="1642"/>
      <c r="G126" s="1642"/>
      <c r="H126" s="1642"/>
      <c r="I126" s="1642"/>
      <c r="J126" s="1642"/>
      <c r="K126" s="1642"/>
      <c r="L126" s="1642"/>
      <c r="M126" s="1642"/>
      <c r="N126" s="1642"/>
      <c r="O126" s="1642"/>
      <c r="P126" s="1642"/>
      <c r="Q126" s="1642"/>
      <c r="R126" s="1642"/>
      <c r="S126" s="1642"/>
      <c r="T126" s="1642"/>
      <c r="AE126" s="394"/>
    </row>
    <row r="127" spans="1:34">
      <c r="D127" s="396"/>
      <c r="E127" s="398"/>
      <c r="F127" s="398"/>
      <c r="G127" s="398"/>
      <c r="H127" s="398"/>
      <c r="I127" s="398"/>
      <c r="J127" s="398"/>
      <c r="K127" s="399"/>
      <c r="L127" s="399"/>
      <c r="M127" s="399"/>
      <c r="N127" s="399"/>
      <c r="O127" s="397"/>
      <c r="P127" s="397"/>
      <c r="Q127" s="397"/>
      <c r="R127" s="397"/>
      <c r="S127" s="397"/>
      <c r="T127" s="397"/>
      <c r="AE127" s="394"/>
    </row>
    <row r="128" spans="1:34" ht="69" customHeight="1">
      <c r="D128" s="400"/>
      <c r="E128" s="398"/>
      <c r="F128" s="398"/>
      <c r="G128" s="398"/>
      <c r="H128" s="398"/>
      <c r="I128" s="398"/>
      <c r="J128" s="398"/>
      <c r="K128" s="399"/>
      <c r="L128" s="399"/>
      <c r="M128" s="399"/>
      <c r="N128" s="399"/>
      <c r="O128" s="397"/>
      <c r="P128" s="397"/>
      <c r="Q128" s="397"/>
      <c r="R128" s="397"/>
      <c r="S128" s="397"/>
      <c r="T128" s="397"/>
      <c r="AB128" s="394"/>
      <c r="AE128" s="394"/>
    </row>
    <row r="129" spans="4:31" ht="69" customHeight="1">
      <c r="D129" s="400"/>
      <c r="E129" s="401"/>
      <c r="F129" s="401"/>
      <c r="G129" s="401"/>
      <c r="H129" s="401"/>
      <c r="I129" s="401"/>
      <c r="J129" s="401"/>
      <c r="K129" s="399"/>
      <c r="L129" s="399"/>
      <c r="M129" s="399"/>
      <c r="N129" s="399"/>
      <c r="O129" s="397"/>
      <c r="P129" s="397"/>
      <c r="Q129" s="397"/>
      <c r="R129" s="397"/>
      <c r="S129" s="397"/>
      <c r="T129" s="397"/>
      <c r="AE129" s="394"/>
    </row>
    <row r="130" spans="4:31" ht="69" customHeight="1">
      <c r="E130" s="1642" t="s">
        <v>482</v>
      </c>
      <c r="F130" s="1642"/>
      <c r="G130" s="1642"/>
      <c r="H130" s="1642"/>
      <c r="I130" s="1642"/>
      <c r="J130" s="1642"/>
      <c r="K130" s="1642"/>
      <c r="L130" s="1642"/>
      <c r="M130" s="1642"/>
      <c r="N130" s="1642"/>
      <c r="O130" s="1642"/>
      <c r="P130" s="1642"/>
      <c r="Q130" s="1642"/>
      <c r="R130" s="1642"/>
      <c r="S130" s="1642"/>
      <c r="T130" s="399"/>
      <c r="AE130" s="394"/>
    </row>
    <row r="131" spans="4:31" ht="69" customHeight="1"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AE131" s="394"/>
    </row>
    <row r="132" spans="4:31">
      <c r="Q132" s="393"/>
      <c r="AE132" s="402"/>
    </row>
    <row r="133" spans="4:31">
      <c r="Q133" s="393"/>
      <c r="AE133" s="402"/>
    </row>
    <row r="134" spans="4:31">
      <c r="Q134" s="393"/>
      <c r="AE134" s="394"/>
    </row>
    <row r="135" spans="4:31">
      <c r="Q135" s="403"/>
    </row>
  </sheetData>
  <mergeCells count="56">
    <mergeCell ref="A1:AE1"/>
    <mergeCell ref="A2:A4"/>
    <mergeCell ref="B2:B4"/>
    <mergeCell ref="C2:C4"/>
    <mergeCell ref="D2:D4"/>
    <mergeCell ref="E2:E4"/>
    <mergeCell ref="F2:F4"/>
    <mergeCell ref="G2:G4"/>
    <mergeCell ref="I2:Q2"/>
    <mergeCell ref="R2:R4"/>
    <mergeCell ref="S2:AD2"/>
    <mergeCell ref="AE2:AE4"/>
    <mergeCell ref="H3:H4"/>
    <mergeCell ref="I3:J3"/>
    <mergeCell ref="K3:L3"/>
    <mergeCell ref="M3:N3"/>
    <mergeCell ref="AA3:AA4"/>
    <mergeCell ref="AB3:AB4"/>
    <mergeCell ref="AC3:AC4"/>
    <mergeCell ref="AD3:AD4"/>
    <mergeCell ref="A6:AE6"/>
    <mergeCell ref="O3:P3"/>
    <mergeCell ref="S3:T3"/>
    <mergeCell ref="U3:V3"/>
    <mergeCell ref="W3:X3"/>
    <mergeCell ref="Y3:Z3"/>
    <mergeCell ref="A7:AE7"/>
    <mergeCell ref="A15:G15"/>
    <mergeCell ref="A16:AE16"/>
    <mergeCell ref="A27:G27"/>
    <mergeCell ref="A28:AE28"/>
    <mergeCell ref="A34:G34"/>
    <mergeCell ref="A35:AE35"/>
    <mergeCell ref="A45:G45"/>
    <mergeCell ref="A46:AE46"/>
    <mergeCell ref="A55:G55"/>
    <mergeCell ref="A56:AE56"/>
    <mergeCell ref="A66:G66"/>
    <mergeCell ref="A67:AE67"/>
    <mergeCell ref="A78:G78"/>
    <mergeCell ref="A79:AE79"/>
    <mergeCell ref="A86:G86"/>
    <mergeCell ref="A87:AE87"/>
    <mergeCell ref="A93:G93"/>
    <mergeCell ref="A94:AE94"/>
    <mergeCell ref="A100:G100"/>
    <mergeCell ref="E130:S130"/>
    <mergeCell ref="A101:AE101"/>
    <mergeCell ref="A113:G113"/>
    <mergeCell ref="A114:AE114"/>
    <mergeCell ref="A118:G118"/>
    <mergeCell ref="E126:T126"/>
    <mergeCell ref="A124:P124"/>
    <mergeCell ref="A119:AE119"/>
    <mergeCell ref="A122:G122"/>
    <mergeCell ref="A123:Q123"/>
  </mergeCells>
  <pageMargins left="0.7" right="0.7" top="0.75" bottom="0.75" header="0.3" footer="0.3"/>
  <pageSetup paperSize="9" scale="10" orientation="portrait" r:id="rId1"/>
  <rowBreaks count="2" manualBreakCount="2">
    <brk id="89" max="30" man="1"/>
    <brk id="126" max="3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AM138"/>
  <sheetViews>
    <sheetView view="pageBreakPreview" topLeftCell="A103" zoomScale="15" zoomScaleNormal="100" zoomScaleSheetLayoutView="15" workbookViewId="0">
      <selection activeCell="A112" sqref="A112:XFD112"/>
    </sheetView>
  </sheetViews>
  <sheetFormatPr defaultColWidth="9.140625" defaultRowHeight="15"/>
  <cols>
    <col min="1" max="1" width="19.7109375" customWidth="1"/>
    <col min="2" max="2" width="22.85546875" customWidth="1"/>
    <col min="3" max="3" width="72.5703125" customWidth="1"/>
    <col min="4" max="4" width="46.5703125" customWidth="1"/>
    <col min="5" max="5" width="90.140625" customWidth="1"/>
    <col min="6" max="6" width="17.140625" customWidth="1"/>
    <col min="7" max="8" width="16.5703125" customWidth="1"/>
    <col min="9" max="9" width="42.28515625" customWidth="1"/>
    <col min="10" max="10" width="62.85546875" customWidth="1"/>
    <col min="11" max="11" width="39.28515625" customWidth="1"/>
    <col min="12" max="12" width="58.7109375" customWidth="1"/>
    <col min="13" max="13" width="33.28515625" customWidth="1"/>
    <col min="14" max="14" width="63.7109375" customWidth="1"/>
    <col min="15" max="15" width="36.85546875" customWidth="1"/>
    <col min="16" max="16" width="51.140625" customWidth="1"/>
    <col min="17" max="17" width="42.5703125" customWidth="1"/>
    <col min="18" max="18" width="73.140625" customWidth="1"/>
    <col min="19" max="19" width="39.42578125" customWidth="1"/>
    <col min="20" max="20" width="66" customWidth="1"/>
    <col min="21" max="21" width="41.140625" customWidth="1"/>
    <col min="22" max="22" width="68.42578125" customWidth="1"/>
    <col min="23" max="23" width="36.140625" customWidth="1"/>
    <col min="24" max="24" width="53" customWidth="1"/>
    <col min="25" max="25" width="41.42578125" customWidth="1"/>
    <col min="26" max="26" width="68" customWidth="1"/>
    <col min="27" max="27" width="58.7109375" customWidth="1"/>
    <col min="28" max="28" width="46" hidden="1" customWidth="1"/>
    <col min="29" max="29" width="58.42578125" customWidth="1"/>
    <col min="30" max="30" width="66.42578125" customWidth="1"/>
    <col min="31" max="31" width="76.85546875" customWidth="1"/>
    <col min="32" max="32" width="67.7109375" bestFit="1" customWidth="1"/>
    <col min="33" max="33" width="55.28515625" bestFit="1" customWidth="1"/>
    <col min="39" max="39" width="79.42578125" customWidth="1"/>
  </cols>
  <sheetData>
    <row r="1" spans="1:33" ht="50.25" customHeight="1"/>
    <row r="2" spans="1:33" ht="75" customHeight="1">
      <c r="P2" s="900" t="s">
        <v>1097</v>
      </c>
    </row>
    <row r="3" spans="1:33" s="756" customFormat="1" ht="76.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3" s="757" customFormat="1" ht="76.5" customHeight="1">
      <c r="A4" s="1683" t="s">
        <v>2</v>
      </c>
      <c r="B4" s="1682" t="s">
        <v>2</v>
      </c>
      <c r="C4" s="1684" t="s">
        <v>271</v>
      </c>
      <c r="D4" s="1682" t="s">
        <v>272</v>
      </c>
      <c r="E4" s="1682" t="s">
        <v>273</v>
      </c>
      <c r="F4" s="1681" t="s">
        <v>274</v>
      </c>
      <c r="G4" s="1681" t="s">
        <v>275</v>
      </c>
      <c r="H4" s="902"/>
      <c r="I4" s="1682" t="s">
        <v>276</v>
      </c>
      <c r="J4" s="1682"/>
      <c r="K4" s="1682"/>
      <c r="L4" s="1682"/>
      <c r="M4" s="1682"/>
      <c r="N4" s="1682"/>
      <c r="O4" s="1682"/>
      <c r="P4" s="1682"/>
      <c r="Q4" s="1682"/>
      <c r="R4" s="1681" t="s">
        <v>277</v>
      </c>
      <c r="S4" s="1680" t="s">
        <v>278</v>
      </c>
      <c r="T4" s="1680"/>
      <c r="U4" s="1680"/>
      <c r="V4" s="1680"/>
      <c r="W4" s="1680"/>
      <c r="X4" s="1680"/>
      <c r="Y4" s="1680"/>
      <c r="Z4" s="1680"/>
      <c r="AA4" s="1680"/>
      <c r="AB4" s="1680"/>
      <c r="AC4" s="1680"/>
      <c r="AD4" s="1680"/>
      <c r="AE4" s="1680" t="s">
        <v>233</v>
      </c>
      <c r="AF4" s="815"/>
    </row>
    <row r="5" spans="1:33" s="757" customFormat="1" ht="207" customHeight="1">
      <c r="A5" s="1683"/>
      <c r="B5" s="1682"/>
      <c r="C5" s="1684"/>
      <c r="D5" s="1682"/>
      <c r="E5" s="1682"/>
      <c r="F5" s="1681"/>
      <c r="G5" s="1681"/>
      <c r="H5" s="1681" t="s">
        <v>279</v>
      </c>
      <c r="I5" s="1682" t="s">
        <v>280</v>
      </c>
      <c r="J5" s="1682"/>
      <c r="K5" s="1682" t="s">
        <v>281</v>
      </c>
      <c r="L5" s="1682"/>
      <c r="M5" s="1682" t="s">
        <v>282</v>
      </c>
      <c r="N5" s="1682"/>
      <c r="O5" s="1682" t="s">
        <v>283</v>
      </c>
      <c r="P5" s="1682"/>
      <c r="Q5" s="901" t="s">
        <v>284</v>
      </c>
      <c r="R5" s="1681"/>
      <c r="S5" s="1680" t="s">
        <v>280</v>
      </c>
      <c r="T5" s="1680"/>
      <c r="U5" s="1680" t="s">
        <v>285</v>
      </c>
      <c r="V5" s="1680"/>
      <c r="W5" s="1680" t="s">
        <v>286</v>
      </c>
      <c r="X5" s="1680"/>
      <c r="Y5" s="1680" t="s">
        <v>283</v>
      </c>
      <c r="Z5" s="1680"/>
      <c r="AA5" s="1680" t="s">
        <v>287</v>
      </c>
      <c r="AB5" s="1680" t="s">
        <v>288</v>
      </c>
      <c r="AC5" s="1680" t="s">
        <v>289</v>
      </c>
      <c r="AD5" s="1680" t="s">
        <v>290</v>
      </c>
      <c r="AE5" s="1680"/>
      <c r="AF5" s="815"/>
    </row>
    <row r="6" spans="1:33" s="758" customFormat="1" ht="276">
      <c r="A6" s="1683"/>
      <c r="B6" s="1682"/>
      <c r="C6" s="1684"/>
      <c r="D6" s="1682"/>
      <c r="E6" s="1682"/>
      <c r="F6" s="1681"/>
      <c r="G6" s="1681"/>
      <c r="H6" s="1681"/>
      <c r="I6" s="903" t="s">
        <v>291</v>
      </c>
      <c r="J6" s="901" t="s">
        <v>292</v>
      </c>
      <c r="K6" s="903" t="s">
        <v>293</v>
      </c>
      <c r="L6" s="901" t="s">
        <v>292</v>
      </c>
      <c r="M6" s="901" t="s">
        <v>294</v>
      </c>
      <c r="N6" s="901" t="s">
        <v>292</v>
      </c>
      <c r="O6" s="904" t="s">
        <v>295</v>
      </c>
      <c r="P6" s="901" t="s">
        <v>4</v>
      </c>
      <c r="Q6" s="901" t="s">
        <v>292</v>
      </c>
      <c r="R6" s="1681"/>
      <c r="S6" s="903" t="s">
        <v>291</v>
      </c>
      <c r="T6" s="903" t="s">
        <v>292</v>
      </c>
      <c r="U6" s="903" t="s">
        <v>294</v>
      </c>
      <c r="V6" s="903" t="s">
        <v>292</v>
      </c>
      <c r="W6" s="903" t="s">
        <v>296</v>
      </c>
      <c r="X6" s="903" t="s">
        <v>292</v>
      </c>
      <c r="Y6" s="903" t="s">
        <v>297</v>
      </c>
      <c r="Z6" s="903" t="s">
        <v>4</v>
      </c>
      <c r="AA6" s="1680"/>
      <c r="AB6" s="1680"/>
      <c r="AC6" s="1680"/>
      <c r="AD6" s="1680"/>
      <c r="AE6" s="1680"/>
      <c r="AF6" s="816"/>
    </row>
    <row r="7" spans="1:33" s="909" customFormat="1" ht="131.44999999999999" customHeight="1">
      <c r="A7" s="1677" t="s">
        <v>1153</v>
      </c>
      <c r="B7" s="1678"/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8"/>
      <c r="W7" s="1678"/>
      <c r="X7" s="1678"/>
      <c r="Y7" s="1678"/>
      <c r="Z7" s="1678"/>
      <c r="AA7" s="1678"/>
      <c r="AB7" s="1678"/>
      <c r="AC7" s="1678"/>
      <c r="AD7" s="1678"/>
      <c r="AE7" s="1679"/>
    </row>
    <row r="8" spans="1:33" s="760" customFormat="1" ht="141">
      <c r="A8" s="769">
        <v>1</v>
      </c>
      <c r="B8" s="769">
        <v>1</v>
      </c>
      <c r="C8" s="905" t="s">
        <v>1098</v>
      </c>
      <c r="D8" s="761" t="s">
        <v>302</v>
      </c>
      <c r="E8" s="767" t="s">
        <v>904</v>
      </c>
      <c r="F8" s="767">
        <v>12</v>
      </c>
      <c r="G8" s="768">
        <v>12</v>
      </c>
      <c r="H8" s="791">
        <v>2</v>
      </c>
      <c r="I8" s="767"/>
      <c r="J8" s="768"/>
      <c r="K8" s="767"/>
      <c r="L8" s="767"/>
      <c r="M8" s="769"/>
      <c r="N8" s="769"/>
      <c r="O8" s="769"/>
      <c r="P8" s="769"/>
      <c r="Q8" s="769"/>
      <c r="R8" s="769"/>
      <c r="S8" s="761">
        <v>25000</v>
      </c>
      <c r="T8" s="767">
        <f>S8*F8*(G8+H8)</f>
        <v>4200000</v>
      </c>
      <c r="U8" s="761">
        <v>15000</v>
      </c>
      <c r="V8" s="767">
        <f>U8*F8*(G8+H8)</f>
        <v>2520000</v>
      </c>
      <c r="W8" s="761">
        <v>14000</v>
      </c>
      <c r="X8" s="767">
        <f>W8*(G8+H8)</f>
        <v>196000</v>
      </c>
      <c r="Y8" s="761">
        <v>350000</v>
      </c>
      <c r="Z8" s="767">
        <f>Y8*(G8+H8)</f>
        <v>4900000</v>
      </c>
      <c r="AA8" s="761"/>
      <c r="AB8" s="761"/>
      <c r="AC8" s="761"/>
      <c r="AD8" s="762">
        <f>T8+V8+X8+Z8+AA8+AB8+AC8</f>
        <v>11816000</v>
      </c>
      <c r="AE8" s="762">
        <f>AD8+R8</f>
        <v>11816000</v>
      </c>
    </row>
    <row r="9" spans="1:33" s="760" customFormat="1" ht="129">
      <c r="A9" s="769">
        <v>2</v>
      </c>
      <c r="B9" s="769">
        <v>2</v>
      </c>
      <c r="C9" s="905" t="s">
        <v>1100</v>
      </c>
      <c r="D9" s="798" t="s">
        <v>318</v>
      </c>
      <c r="E9" s="767" t="s">
        <v>1081</v>
      </c>
      <c r="F9" s="767">
        <v>18</v>
      </c>
      <c r="G9" s="768">
        <v>15</v>
      </c>
      <c r="H9" s="791">
        <v>2</v>
      </c>
      <c r="I9" s="767">
        <v>8500</v>
      </c>
      <c r="J9" s="768">
        <f>(G9+H9)*I9*F9</f>
        <v>2601000</v>
      </c>
      <c r="K9" s="767">
        <v>6500</v>
      </c>
      <c r="L9" s="767">
        <f>K9*F9*G9</f>
        <v>1755000</v>
      </c>
      <c r="M9" s="769">
        <f>3692*2</f>
        <v>7384</v>
      </c>
      <c r="N9" s="769">
        <f>M9*H9*F9</f>
        <v>265824</v>
      </c>
      <c r="O9" s="769">
        <v>10000</v>
      </c>
      <c r="P9" s="129">
        <f>O9*H9*2</f>
        <v>40000</v>
      </c>
      <c r="Q9" s="769"/>
      <c r="R9" s="129">
        <f>SUM(J9+L9+N9+P9)+Q9</f>
        <v>4661824</v>
      </c>
      <c r="S9" s="761"/>
      <c r="T9" s="767"/>
      <c r="U9" s="761"/>
      <c r="V9" s="767"/>
      <c r="W9" s="761"/>
      <c r="X9" s="767"/>
      <c r="Y9" s="761"/>
      <c r="Z9" s="767"/>
      <c r="AA9" s="761"/>
      <c r="AB9" s="761"/>
      <c r="AC9" s="761"/>
      <c r="AD9" s="762"/>
      <c r="AE9" s="762">
        <f>AD9+R9</f>
        <v>4661824</v>
      </c>
    </row>
    <row r="10" spans="1:33" s="760" customFormat="1" ht="129">
      <c r="A10" s="769">
        <v>3</v>
      </c>
      <c r="B10" s="769">
        <v>3</v>
      </c>
      <c r="C10" s="905" t="s">
        <v>1101</v>
      </c>
      <c r="D10" s="798" t="s">
        <v>310</v>
      </c>
      <c r="E10" s="767" t="s">
        <v>1082</v>
      </c>
      <c r="F10" s="791">
        <v>18</v>
      </c>
      <c r="G10" s="768">
        <v>15</v>
      </c>
      <c r="H10" s="791">
        <v>2</v>
      </c>
      <c r="I10" s="767">
        <v>8500</v>
      </c>
      <c r="J10" s="768">
        <f>(G10+H10)*I10*F10</f>
        <v>2601000</v>
      </c>
      <c r="K10" s="767">
        <v>6500</v>
      </c>
      <c r="L10" s="767">
        <f>K10*F10*G10</f>
        <v>1755000</v>
      </c>
      <c r="M10" s="769">
        <f>3692*2</f>
        <v>7384</v>
      </c>
      <c r="N10" s="769">
        <f>M10*H10*F10</f>
        <v>265824</v>
      </c>
      <c r="O10" s="769">
        <v>10000</v>
      </c>
      <c r="P10" s="129">
        <f>O10*H10*2</f>
        <v>40000</v>
      </c>
      <c r="Q10" s="769"/>
      <c r="R10" s="769">
        <f>SUM(J10+L10+N10+P10)+Q10</f>
        <v>4661824</v>
      </c>
      <c r="S10" s="769"/>
      <c r="T10" s="769"/>
      <c r="U10" s="769"/>
      <c r="V10" s="769"/>
      <c r="W10" s="769"/>
      <c r="X10" s="769"/>
      <c r="Y10" s="769"/>
      <c r="Z10" s="769"/>
      <c r="AA10" s="769"/>
      <c r="AB10" s="769"/>
      <c r="AC10" s="769"/>
      <c r="AD10" s="762"/>
      <c r="AE10" s="762">
        <f>R10+AD10</f>
        <v>4661824</v>
      </c>
    </row>
    <row r="11" spans="1:33" s="760" customFormat="1" ht="167.25" customHeight="1">
      <c r="A11" s="769">
        <v>4</v>
      </c>
      <c r="B11" s="769">
        <v>4</v>
      </c>
      <c r="C11" s="906" t="s">
        <v>390</v>
      </c>
      <c r="D11" s="798" t="s">
        <v>374</v>
      </c>
      <c r="E11" s="767" t="s">
        <v>910</v>
      </c>
      <c r="F11" s="767">
        <v>12</v>
      </c>
      <c r="G11" s="768">
        <v>12</v>
      </c>
      <c r="H11" s="791">
        <v>2</v>
      </c>
      <c r="I11" s="767"/>
      <c r="J11" s="768"/>
      <c r="K11" s="767"/>
      <c r="L11" s="767"/>
      <c r="M11" s="769"/>
      <c r="N11" s="769"/>
      <c r="O11" s="769"/>
      <c r="P11" s="769"/>
      <c r="Q11" s="769"/>
      <c r="R11" s="769"/>
      <c r="S11" s="761">
        <v>43500</v>
      </c>
      <c r="T11" s="767">
        <f>S11*F11*(G11+H11)</f>
        <v>7308000</v>
      </c>
      <c r="U11" s="761">
        <v>43500</v>
      </c>
      <c r="V11" s="767">
        <f>U11*F11*(G11+H11)</f>
        <v>7308000</v>
      </c>
      <c r="W11" s="761">
        <v>14000</v>
      </c>
      <c r="X11" s="767">
        <f>W11*(G11+H11)</f>
        <v>196000</v>
      </c>
      <c r="Y11" s="761">
        <v>500000</v>
      </c>
      <c r="Z11" s="767">
        <f>Y11*(G11+H11)</f>
        <v>7000000</v>
      </c>
      <c r="AA11" s="761">
        <f>55000*(G11+H11)</f>
        <v>770000</v>
      </c>
      <c r="AB11" s="761"/>
      <c r="AC11" s="761"/>
      <c r="AD11" s="762">
        <f>T11+V11+X11+Z11+AA11+AB11+AC11</f>
        <v>22582000</v>
      </c>
      <c r="AE11" s="762">
        <f>AD11+R11</f>
        <v>22582000</v>
      </c>
    </row>
    <row r="12" spans="1:33" s="760" customFormat="1" ht="211.5">
      <c r="A12" s="769">
        <v>5</v>
      </c>
      <c r="B12" s="769">
        <v>5</v>
      </c>
      <c r="C12" s="905" t="s">
        <v>1102</v>
      </c>
      <c r="D12" s="761" t="s">
        <v>359</v>
      </c>
      <c r="E12" s="767" t="s">
        <v>1083</v>
      </c>
      <c r="F12" s="791">
        <v>18</v>
      </c>
      <c r="G12" s="768">
        <v>15</v>
      </c>
      <c r="H12" s="791">
        <v>2</v>
      </c>
      <c r="I12" s="767">
        <v>8500</v>
      </c>
      <c r="J12" s="768">
        <f>(G12+H12)*I12*F12</f>
        <v>2601000</v>
      </c>
      <c r="K12" s="767">
        <v>6500</v>
      </c>
      <c r="L12" s="767">
        <f>K12*F12*G12</f>
        <v>1755000</v>
      </c>
      <c r="M12" s="769">
        <f>3692*2</f>
        <v>7384</v>
      </c>
      <c r="N12" s="769">
        <f>M12*H12*F12</f>
        <v>265824</v>
      </c>
      <c r="O12" s="769">
        <v>10000</v>
      </c>
      <c r="P12" s="129">
        <f>O12*H12*2</f>
        <v>40000</v>
      </c>
      <c r="Q12" s="769"/>
      <c r="R12" s="769">
        <f>SUM(J12+L12+N12+P12)+Q12</f>
        <v>4661824</v>
      </c>
      <c r="S12" s="769"/>
      <c r="T12" s="769"/>
      <c r="U12" s="769"/>
      <c r="V12" s="769"/>
      <c r="W12" s="769"/>
      <c r="X12" s="769"/>
      <c r="Y12" s="769"/>
      <c r="Z12" s="769"/>
      <c r="AA12" s="769"/>
      <c r="AB12" s="769"/>
      <c r="AC12" s="769"/>
      <c r="AD12" s="762"/>
      <c r="AE12" s="762">
        <f>R12+AD12</f>
        <v>4661824</v>
      </c>
    </row>
    <row r="13" spans="1:33" s="760" customFormat="1" ht="211.5">
      <c r="A13" s="769">
        <v>6</v>
      </c>
      <c r="B13" s="769">
        <v>6</v>
      </c>
      <c r="C13" s="790" t="s">
        <v>1099</v>
      </c>
      <c r="D13" s="761" t="s">
        <v>1129</v>
      </c>
      <c r="E13" s="767" t="s">
        <v>910</v>
      </c>
      <c r="F13" s="767">
        <v>8</v>
      </c>
      <c r="G13" s="768">
        <v>12</v>
      </c>
      <c r="H13" s="791">
        <v>2</v>
      </c>
      <c r="I13" s="767"/>
      <c r="J13" s="768"/>
      <c r="K13" s="767"/>
      <c r="L13" s="767"/>
      <c r="M13" s="769"/>
      <c r="N13" s="769"/>
      <c r="O13" s="769"/>
      <c r="P13" s="769"/>
      <c r="Q13" s="769"/>
      <c r="R13" s="769"/>
      <c r="S13" s="761">
        <v>43500</v>
      </c>
      <c r="T13" s="767">
        <f t="shared" ref="T13:T14" si="0">S13*F13*(G13+H13)</f>
        <v>4872000</v>
      </c>
      <c r="U13" s="761">
        <v>43500</v>
      </c>
      <c r="V13" s="767">
        <f t="shared" ref="V13:V14" si="1">U13*F13*(G13+H13)</f>
        <v>4872000</v>
      </c>
      <c r="W13" s="761">
        <v>14000</v>
      </c>
      <c r="X13" s="767">
        <f t="shared" ref="X13:X14" si="2">W13*(G13+H13)</f>
        <v>196000</v>
      </c>
      <c r="Y13" s="761">
        <v>500000</v>
      </c>
      <c r="Z13" s="767">
        <f>Y13*(G13+H13)</f>
        <v>7000000</v>
      </c>
      <c r="AA13" s="761">
        <f>55000*(G13+H13)</f>
        <v>770000</v>
      </c>
      <c r="AB13" s="761"/>
      <c r="AC13" s="761">
        <v>89293</v>
      </c>
      <c r="AD13" s="762">
        <f>T13+V13+X13+Z13+AA13+AB13+AC13</f>
        <v>17799293</v>
      </c>
      <c r="AE13" s="762">
        <f>AD13+R13</f>
        <v>17799293</v>
      </c>
    </row>
    <row r="14" spans="1:33" s="760" customFormat="1" ht="211.5">
      <c r="A14" s="769">
        <v>7</v>
      </c>
      <c r="B14" s="769">
        <v>7</v>
      </c>
      <c r="C14" s="906" t="s">
        <v>334</v>
      </c>
      <c r="D14" s="761" t="s">
        <v>1130</v>
      </c>
      <c r="E14" s="767" t="s">
        <v>904</v>
      </c>
      <c r="F14" s="767">
        <v>8</v>
      </c>
      <c r="G14" s="768">
        <v>12</v>
      </c>
      <c r="H14" s="791">
        <v>2</v>
      </c>
      <c r="I14" s="767"/>
      <c r="J14" s="768"/>
      <c r="K14" s="767"/>
      <c r="L14" s="767"/>
      <c r="M14" s="769"/>
      <c r="N14" s="769"/>
      <c r="O14" s="769"/>
      <c r="P14" s="769"/>
      <c r="Q14" s="769"/>
      <c r="R14" s="769"/>
      <c r="S14" s="761">
        <v>43500</v>
      </c>
      <c r="T14" s="767">
        <f t="shared" si="0"/>
        <v>4872000</v>
      </c>
      <c r="U14" s="761">
        <v>43500</v>
      </c>
      <c r="V14" s="767">
        <f t="shared" si="1"/>
        <v>4872000</v>
      </c>
      <c r="W14" s="761">
        <v>14000</v>
      </c>
      <c r="X14" s="767">
        <f t="shared" si="2"/>
        <v>196000</v>
      </c>
      <c r="Y14" s="761">
        <v>400000</v>
      </c>
      <c r="Z14" s="767">
        <f>Y14*(G14+H14)</f>
        <v>5600000</v>
      </c>
      <c r="AA14" s="761"/>
      <c r="AB14" s="761"/>
      <c r="AC14" s="761">
        <v>150000</v>
      </c>
      <c r="AD14" s="762">
        <f>T14+V14+X14+Z14+AA14+AB14+AC14</f>
        <v>15690000</v>
      </c>
      <c r="AE14" s="762">
        <f>AD14+R14</f>
        <v>15690000</v>
      </c>
    </row>
    <row r="15" spans="1:33" s="765" customFormat="1" ht="80.25" customHeight="1">
      <c r="A15" s="1661" t="s">
        <v>38</v>
      </c>
      <c r="B15" s="1661"/>
      <c r="C15" s="1661"/>
      <c r="D15" s="1661"/>
      <c r="E15" s="1661"/>
      <c r="F15" s="1661"/>
      <c r="G15" s="1661"/>
      <c r="H15" s="1661"/>
      <c r="I15" s="793"/>
      <c r="J15" s="820">
        <f>SUM(J8:J14)</f>
        <v>7803000</v>
      </c>
      <c r="K15" s="763"/>
      <c r="L15" s="820">
        <f>SUM(L8:L14)</f>
        <v>5265000</v>
      </c>
      <c r="M15" s="763"/>
      <c r="N15" s="820">
        <f>SUM(N8:N14)</f>
        <v>797472</v>
      </c>
      <c r="O15" s="763"/>
      <c r="P15" s="820">
        <f>SUM(P8:P14)</f>
        <v>120000</v>
      </c>
      <c r="Q15" s="794"/>
      <c r="R15" s="820">
        <f>SUM(R8:R14)</f>
        <v>13985472</v>
      </c>
      <c r="S15" s="794"/>
      <c r="T15" s="820">
        <f>SUM(T8:T14)</f>
        <v>21252000</v>
      </c>
      <c r="U15" s="794"/>
      <c r="V15" s="820">
        <f>SUM(V8:V14)</f>
        <v>19572000</v>
      </c>
      <c r="W15" s="794"/>
      <c r="X15" s="820">
        <f>SUM(X8:X14)</f>
        <v>784000</v>
      </c>
      <c r="Y15" s="794"/>
      <c r="Z15" s="820">
        <f>SUM(Z8:Z14)</f>
        <v>24500000</v>
      </c>
      <c r="AA15" s="820">
        <f>SUM(AA8:AA14)</f>
        <v>1540000</v>
      </c>
      <c r="AB15" s="794"/>
      <c r="AC15" s="820">
        <f t="shared" ref="AC15:AD15" si="3">SUM(AC8:AC14)</f>
        <v>239293</v>
      </c>
      <c r="AD15" s="820">
        <f t="shared" si="3"/>
        <v>67887293</v>
      </c>
      <c r="AE15" s="820">
        <f>SUM(AE8:AE14)</f>
        <v>81872765</v>
      </c>
      <c r="AF15" s="818">
        <f>V15+X15+Z15+AB15+AC15+AD15+AE15</f>
        <v>194855351</v>
      </c>
      <c r="AG15" s="764">
        <f>T15+AF15</f>
        <v>216107351</v>
      </c>
    </row>
    <row r="16" spans="1:33" s="910" customFormat="1" ht="63.75">
      <c r="A16" s="1670" t="s">
        <v>1154</v>
      </c>
      <c r="B16" s="1670"/>
      <c r="C16" s="1670"/>
      <c r="D16" s="1670"/>
      <c r="E16" s="1670"/>
      <c r="F16" s="1670"/>
      <c r="G16" s="1670"/>
      <c r="H16" s="1670"/>
      <c r="I16" s="1670"/>
      <c r="J16" s="1671"/>
      <c r="K16" s="1671"/>
      <c r="L16" s="1671"/>
      <c r="M16" s="1671"/>
      <c r="N16" s="1671"/>
      <c r="O16" s="1671"/>
      <c r="P16" s="1671"/>
      <c r="Q16" s="1671"/>
      <c r="R16" s="1671"/>
      <c r="S16" s="1671"/>
      <c r="T16" s="1671"/>
      <c r="U16" s="1671"/>
      <c r="V16" s="1671"/>
      <c r="W16" s="1671"/>
      <c r="X16" s="1671"/>
      <c r="Y16" s="1671"/>
      <c r="Z16" s="1671"/>
      <c r="AA16" s="1671"/>
      <c r="AB16" s="1671"/>
      <c r="AC16" s="1671"/>
      <c r="AD16" s="1671"/>
      <c r="AE16" s="1671"/>
    </row>
    <row r="17" spans="1:32" s="770" customFormat="1" ht="141">
      <c r="A17" s="769">
        <v>8</v>
      </c>
      <c r="B17" s="769">
        <v>1</v>
      </c>
      <c r="C17" s="905" t="s">
        <v>1098</v>
      </c>
      <c r="D17" s="761" t="s">
        <v>397</v>
      </c>
      <c r="E17" s="767" t="s">
        <v>904</v>
      </c>
      <c r="F17" s="767">
        <v>10</v>
      </c>
      <c r="G17" s="768">
        <v>12</v>
      </c>
      <c r="H17" s="791">
        <v>2</v>
      </c>
      <c r="I17" s="767"/>
      <c r="J17" s="768"/>
      <c r="K17" s="767"/>
      <c r="L17" s="767"/>
      <c r="M17" s="769"/>
      <c r="N17" s="769"/>
      <c r="O17" s="769"/>
      <c r="P17" s="769"/>
      <c r="Q17" s="769"/>
      <c r="R17" s="769"/>
      <c r="S17" s="761">
        <v>25000</v>
      </c>
      <c r="T17" s="767">
        <f t="shared" ref="T17:T19" si="4">S17*F17*(G17+H17)</f>
        <v>3500000</v>
      </c>
      <c r="U17" s="761">
        <v>15000</v>
      </c>
      <c r="V17" s="767">
        <f t="shared" ref="V17:V19" si="5">U17*F17*(G17+H17)</f>
        <v>2100000</v>
      </c>
      <c r="W17" s="761">
        <v>14000</v>
      </c>
      <c r="X17" s="767">
        <f t="shared" ref="X17:X19" si="6">W17*(G17+H17)</f>
        <v>196000</v>
      </c>
      <c r="Y17" s="761">
        <v>350000</v>
      </c>
      <c r="Z17" s="767">
        <f t="shared" ref="Z17:Z19" si="7">Y17*(G17+H17)</f>
        <v>4900000</v>
      </c>
      <c r="AA17" s="761"/>
      <c r="AB17" s="761"/>
      <c r="AC17" s="761"/>
      <c r="AD17" s="762">
        <f>T17+V17+X17+Z17+AA17+AB17+AC17</f>
        <v>10696000</v>
      </c>
      <c r="AE17" s="762">
        <f>AD17+R17</f>
        <v>10696000</v>
      </c>
      <c r="AF17" s="819">
        <f>SUM(AD16,R16)</f>
        <v>0</v>
      </c>
    </row>
    <row r="18" spans="1:32" s="756" customFormat="1" ht="76.5">
      <c r="A18" s="769">
        <v>9</v>
      </c>
      <c r="B18" s="769">
        <v>2</v>
      </c>
      <c r="C18" s="905" t="s">
        <v>1098</v>
      </c>
      <c r="D18" s="761" t="s">
        <v>340</v>
      </c>
      <c r="E18" s="767" t="s">
        <v>920</v>
      </c>
      <c r="F18" s="767">
        <v>10</v>
      </c>
      <c r="G18" s="768">
        <v>12</v>
      </c>
      <c r="H18" s="791">
        <v>2</v>
      </c>
      <c r="I18" s="767"/>
      <c r="J18" s="768"/>
      <c r="K18" s="767"/>
      <c r="L18" s="767"/>
      <c r="M18" s="769"/>
      <c r="N18" s="769"/>
      <c r="O18" s="769"/>
      <c r="P18" s="769"/>
      <c r="Q18" s="769"/>
      <c r="R18" s="769"/>
      <c r="S18" s="761">
        <v>25000</v>
      </c>
      <c r="T18" s="767">
        <f t="shared" si="4"/>
        <v>3500000</v>
      </c>
      <c r="U18" s="761">
        <v>15000</v>
      </c>
      <c r="V18" s="767">
        <f t="shared" si="5"/>
        <v>2100000</v>
      </c>
      <c r="W18" s="761">
        <v>14000</v>
      </c>
      <c r="X18" s="767">
        <f t="shared" si="6"/>
        <v>196000</v>
      </c>
      <c r="Y18" s="761">
        <v>350000</v>
      </c>
      <c r="Z18" s="767">
        <f t="shared" si="7"/>
        <v>4900000</v>
      </c>
      <c r="AA18" s="761">
        <f>55000*(G18+H18)</f>
        <v>770000</v>
      </c>
      <c r="AB18" s="761"/>
      <c r="AC18" s="761"/>
      <c r="AD18" s="762">
        <f t="shared" ref="AD18:AD19" si="8">T18+V18+X18+Z18+AA18+AB18+AC18</f>
        <v>11466000</v>
      </c>
      <c r="AE18" s="762">
        <f t="shared" ref="AE18:AE23" si="9">AD18+R18</f>
        <v>11466000</v>
      </c>
    </row>
    <row r="19" spans="1:32" s="756" customFormat="1" ht="76.5">
      <c r="A19" s="769">
        <v>10</v>
      </c>
      <c r="B19" s="769">
        <v>3</v>
      </c>
      <c r="C19" s="905" t="s">
        <v>1098</v>
      </c>
      <c r="D19" s="761" t="s">
        <v>340</v>
      </c>
      <c r="E19" s="767" t="s">
        <v>921</v>
      </c>
      <c r="F19" s="767">
        <v>10</v>
      </c>
      <c r="G19" s="768">
        <v>12</v>
      </c>
      <c r="H19" s="791">
        <v>2</v>
      </c>
      <c r="I19" s="767"/>
      <c r="J19" s="768"/>
      <c r="K19" s="767"/>
      <c r="L19" s="767"/>
      <c r="M19" s="769"/>
      <c r="N19" s="769"/>
      <c r="O19" s="769"/>
      <c r="P19" s="769"/>
      <c r="Q19" s="769"/>
      <c r="R19" s="769"/>
      <c r="S19" s="761">
        <v>25000</v>
      </c>
      <c r="T19" s="767">
        <f t="shared" si="4"/>
        <v>3500000</v>
      </c>
      <c r="U19" s="761">
        <v>15000</v>
      </c>
      <c r="V19" s="767">
        <f t="shared" si="5"/>
        <v>2100000</v>
      </c>
      <c r="W19" s="761">
        <v>14000</v>
      </c>
      <c r="X19" s="767">
        <f t="shared" si="6"/>
        <v>196000</v>
      </c>
      <c r="Y19" s="761">
        <v>350000</v>
      </c>
      <c r="Z19" s="767">
        <f t="shared" si="7"/>
        <v>4900000</v>
      </c>
      <c r="AA19" s="761">
        <f>55000*(G19+H19)</f>
        <v>770000</v>
      </c>
      <c r="AB19" s="761"/>
      <c r="AC19" s="761"/>
      <c r="AD19" s="762">
        <f t="shared" si="8"/>
        <v>11466000</v>
      </c>
      <c r="AE19" s="762">
        <f t="shared" si="9"/>
        <v>11466000</v>
      </c>
    </row>
    <row r="20" spans="1:32" s="756" customFormat="1" ht="141">
      <c r="A20" s="769">
        <v>11</v>
      </c>
      <c r="B20" s="769">
        <v>4</v>
      </c>
      <c r="C20" s="905" t="s">
        <v>1103</v>
      </c>
      <c r="D20" s="761" t="s">
        <v>332</v>
      </c>
      <c r="E20" s="767" t="s">
        <v>1084</v>
      </c>
      <c r="F20" s="791">
        <v>18</v>
      </c>
      <c r="G20" s="768">
        <v>15</v>
      </c>
      <c r="H20" s="791">
        <v>2</v>
      </c>
      <c r="I20" s="767">
        <v>8500</v>
      </c>
      <c r="J20" s="768">
        <f>(G20+H20)*I20*F20</f>
        <v>2601000</v>
      </c>
      <c r="K20" s="767">
        <f>3450*2.5</f>
        <v>8625</v>
      </c>
      <c r="L20" s="767">
        <f>K20*F20*G20</f>
        <v>2328750</v>
      </c>
      <c r="M20" s="769">
        <f>3692*2</f>
        <v>7384</v>
      </c>
      <c r="N20" s="769">
        <f>M20*H20*F20</f>
        <v>265824</v>
      </c>
      <c r="O20" s="769">
        <v>10000</v>
      </c>
      <c r="P20" s="129">
        <f>O20*H20*2</f>
        <v>40000</v>
      </c>
      <c r="Q20" s="769"/>
      <c r="R20" s="769">
        <f>SUM(J20+L20+N20+P20)+Q20</f>
        <v>5235574</v>
      </c>
      <c r="S20" s="769"/>
      <c r="T20" s="769"/>
      <c r="U20" s="769"/>
      <c r="V20" s="769"/>
      <c r="W20" s="769"/>
      <c r="X20" s="769"/>
      <c r="Y20" s="769"/>
      <c r="Z20" s="769"/>
      <c r="AA20" s="769"/>
      <c r="AB20" s="769"/>
      <c r="AC20" s="769"/>
      <c r="AD20" s="762"/>
      <c r="AE20" s="762">
        <f t="shared" si="9"/>
        <v>5235574</v>
      </c>
    </row>
    <row r="21" spans="1:32" s="756" customFormat="1" ht="141">
      <c r="A21" s="769">
        <v>12</v>
      </c>
      <c r="B21" s="769">
        <v>5</v>
      </c>
      <c r="C21" s="907" t="s">
        <v>390</v>
      </c>
      <c r="D21" s="761" t="s">
        <v>332</v>
      </c>
      <c r="E21" s="767" t="s">
        <v>910</v>
      </c>
      <c r="F21" s="767">
        <v>12</v>
      </c>
      <c r="G21" s="768">
        <v>12</v>
      </c>
      <c r="H21" s="791">
        <v>2</v>
      </c>
      <c r="I21" s="767"/>
      <c r="J21" s="768"/>
      <c r="K21" s="767"/>
      <c r="L21" s="767"/>
      <c r="M21" s="769"/>
      <c r="N21" s="769"/>
      <c r="O21" s="769"/>
      <c r="P21" s="769"/>
      <c r="Q21" s="769"/>
      <c r="R21" s="769"/>
      <c r="S21" s="761">
        <v>43500</v>
      </c>
      <c r="T21" s="767">
        <f>S21*F21*(G21+H21)</f>
        <v>7308000</v>
      </c>
      <c r="U21" s="761">
        <v>43500</v>
      </c>
      <c r="V21" s="767">
        <f>U21*F21*(G21+H21)</f>
        <v>7308000</v>
      </c>
      <c r="W21" s="761">
        <v>14000</v>
      </c>
      <c r="X21" s="767">
        <f>W21*(G21+H21)</f>
        <v>196000</v>
      </c>
      <c r="Y21" s="761">
        <v>400000</v>
      </c>
      <c r="Z21" s="767">
        <f>Y21*(G21+H21)</f>
        <v>5600000</v>
      </c>
      <c r="AA21" s="761">
        <f>55000*(G21+H21)</f>
        <v>770000</v>
      </c>
      <c r="AB21" s="761"/>
      <c r="AC21" s="761">
        <v>89293</v>
      </c>
      <c r="AD21" s="762">
        <f>T21+V21+X21+Z21+AA21+AB21+AC21</f>
        <v>21271293</v>
      </c>
      <c r="AE21" s="762">
        <f t="shared" si="9"/>
        <v>21271293</v>
      </c>
    </row>
    <row r="22" spans="1:32" s="756" customFormat="1" ht="211.5">
      <c r="A22" s="769">
        <v>13</v>
      </c>
      <c r="B22" s="769">
        <v>6</v>
      </c>
      <c r="C22" s="905" t="s">
        <v>1102</v>
      </c>
      <c r="D22" s="761" t="s">
        <v>1130</v>
      </c>
      <c r="E22" s="767" t="s">
        <v>387</v>
      </c>
      <c r="F22" s="791">
        <v>18</v>
      </c>
      <c r="G22" s="768">
        <v>15</v>
      </c>
      <c r="H22" s="791">
        <v>2</v>
      </c>
      <c r="I22" s="767">
        <v>8500</v>
      </c>
      <c r="J22" s="768">
        <f>(G22+H22)*I22*F22</f>
        <v>2601000</v>
      </c>
      <c r="K22" s="767">
        <f>3450*2.5</f>
        <v>8625</v>
      </c>
      <c r="L22" s="767">
        <f>K22*F22*G22</f>
        <v>2328750</v>
      </c>
      <c r="M22" s="769">
        <f>3692*2</f>
        <v>7384</v>
      </c>
      <c r="N22" s="769">
        <f>M22*H22*F22</f>
        <v>265824</v>
      </c>
      <c r="O22" s="769">
        <v>10000</v>
      </c>
      <c r="P22" s="129">
        <f>O22*H22*2</f>
        <v>40000</v>
      </c>
      <c r="Q22" s="769"/>
      <c r="R22" s="769">
        <f>SUM(J22+L22+N22+P22)+Q22</f>
        <v>5235574</v>
      </c>
      <c r="S22" s="769"/>
      <c r="T22" s="769"/>
      <c r="U22" s="769"/>
      <c r="V22" s="769"/>
      <c r="W22" s="769"/>
      <c r="X22" s="769"/>
      <c r="Y22" s="769"/>
      <c r="Z22" s="769"/>
      <c r="AA22" s="769"/>
      <c r="AB22" s="769"/>
      <c r="AC22" s="769"/>
      <c r="AD22" s="762"/>
      <c r="AE22" s="762">
        <f t="shared" si="9"/>
        <v>5235574</v>
      </c>
    </row>
    <row r="23" spans="1:32" s="756" customFormat="1" ht="172.5" customHeight="1">
      <c r="A23" s="789">
        <v>14</v>
      </c>
      <c r="B23" s="768">
        <v>7</v>
      </c>
      <c r="C23" s="906" t="s">
        <v>334</v>
      </c>
      <c r="D23" s="761" t="s">
        <v>374</v>
      </c>
      <c r="E23" s="767" t="s">
        <v>927</v>
      </c>
      <c r="F23" s="767">
        <v>8</v>
      </c>
      <c r="G23" s="768">
        <v>12</v>
      </c>
      <c r="H23" s="791">
        <v>2</v>
      </c>
      <c r="I23" s="767"/>
      <c r="J23" s="768"/>
      <c r="K23" s="767"/>
      <c r="L23" s="767"/>
      <c r="M23" s="769"/>
      <c r="N23" s="769"/>
      <c r="O23" s="769"/>
      <c r="P23" s="769"/>
      <c r="Q23" s="769"/>
      <c r="R23" s="769"/>
      <c r="S23" s="761">
        <v>43500</v>
      </c>
      <c r="T23" s="767">
        <f>S23*F23*(G23+H23)</f>
        <v>4872000</v>
      </c>
      <c r="U23" s="761">
        <v>43500</v>
      </c>
      <c r="V23" s="767">
        <f>U23*F23*(G23+H23)</f>
        <v>4872000</v>
      </c>
      <c r="W23" s="761">
        <v>14000</v>
      </c>
      <c r="X23" s="767">
        <f>W23*(G23+H23)</f>
        <v>196000</v>
      </c>
      <c r="Y23" s="761">
        <v>400000</v>
      </c>
      <c r="Z23" s="767">
        <f>Y23*(G23+H23)</f>
        <v>5600000</v>
      </c>
      <c r="AA23" s="761">
        <f>55000*(G23+H23)</f>
        <v>770000</v>
      </c>
      <c r="AB23" s="761"/>
      <c r="AC23" s="761"/>
      <c r="AD23" s="762">
        <f>T23+V23+X23+Z23+AA23+AB23+AC23</f>
        <v>16310000</v>
      </c>
      <c r="AE23" s="762">
        <f t="shared" si="9"/>
        <v>16310000</v>
      </c>
    </row>
    <row r="24" spans="1:32" s="756" customFormat="1" ht="76.5" customHeight="1">
      <c r="A24" s="1661" t="s">
        <v>38</v>
      </c>
      <c r="B24" s="1661"/>
      <c r="C24" s="1661"/>
      <c r="D24" s="1661"/>
      <c r="E24" s="1661"/>
      <c r="F24" s="1661"/>
      <c r="G24" s="1661"/>
      <c r="H24" s="1661"/>
      <c r="I24" s="870"/>
      <c r="J24" s="870">
        <f>SUM(J17:J23)</f>
        <v>5202000</v>
      </c>
      <c r="K24" s="870"/>
      <c r="L24" s="870">
        <f>SUM(L17:L23)</f>
        <v>4657500</v>
      </c>
      <c r="M24" s="870"/>
      <c r="N24" s="870">
        <f>SUM(N17:N23)</f>
        <v>531648</v>
      </c>
      <c r="O24" s="869"/>
      <c r="P24" s="870">
        <f>SUM(P17:P23)</f>
        <v>80000</v>
      </c>
      <c r="Q24" s="869"/>
      <c r="R24" s="870">
        <f>SUM(R17:R23)</f>
        <v>10471148</v>
      </c>
      <c r="S24" s="869"/>
      <c r="T24" s="870">
        <f>SUM(T17:T23)</f>
        <v>22680000</v>
      </c>
      <c r="U24" s="869"/>
      <c r="V24" s="870">
        <f>SUM(V17:V23)</f>
        <v>18480000</v>
      </c>
      <c r="W24" s="869"/>
      <c r="X24" s="870">
        <f>SUM(X17:X23)</f>
        <v>980000</v>
      </c>
      <c r="Y24" s="869"/>
      <c r="Z24" s="870">
        <f t="shared" ref="Z24:AA24" si="10">SUM(Z17:Z23)</f>
        <v>25900000</v>
      </c>
      <c r="AA24" s="870">
        <f t="shared" si="10"/>
        <v>3080000</v>
      </c>
      <c r="AB24" s="870"/>
      <c r="AC24" s="870">
        <f t="shared" ref="AC24:AD24" si="11">SUM(AC17:AC23)</f>
        <v>89293</v>
      </c>
      <c r="AD24" s="870">
        <f t="shared" si="11"/>
        <v>71209293</v>
      </c>
      <c r="AE24" s="870">
        <f>SUM(AE17:AE23)</f>
        <v>81680441</v>
      </c>
    </row>
    <row r="25" spans="1:32" s="911" customFormat="1" ht="64.5">
      <c r="A25" s="1672" t="s">
        <v>1155</v>
      </c>
      <c r="B25" s="1673"/>
      <c r="C25" s="1673"/>
      <c r="D25" s="1673"/>
      <c r="E25" s="1673"/>
      <c r="F25" s="1673"/>
      <c r="G25" s="1673"/>
      <c r="H25" s="1673"/>
      <c r="I25" s="1673"/>
      <c r="J25" s="1674"/>
      <c r="K25" s="1674"/>
      <c r="L25" s="1674"/>
      <c r="M25" s="1674"/>
      <c r="N25" s="1674"/>
      <c r="O25" s="1674"/>
      <c r="P25" s="1674"/>
      <c r="Q25" s="1674"/>
      <c r="R25" s="1674"/>
      <c r="S25" s="1674"/>
      <c r="T25" s="1674"/>
      <c r="U25" s="1674"/>
      <c r="V25" s="1674"/>
      <c r="W25" s="1674"/>
      <c r="X25" s="1674"/>
      <c r="Y25" s="1674"/>
      <c r="Z25" s="1674"/>
      <c r="AA25" s="1674"/>
      <c r="AB25" s="1674"/>
      <c r="AC25" s="1674"/>
      <c r="AD25" s="1674"/>
      <c r="AE25" s="1675"/>
    </row>
    <row r="26" spans="1:32" s="756" customFormat="1" ht="258">
      <c r="A26" s="796">
        <v>15</v>
      </c>
      <c r="B26" s="126">
        <v>1</v>
      </c>
      <c r="C26" s="908" t="s">
        <v>1104</v>
      </c>
      <c r="D26" s="798" t="s">
        <v>1131</v>
      </c>
      <c r="E26" s="798" t="s">
        <v>1085</v>
      </c>
      <c r="F26" s="772">
        <v>18</v>
      </c>
      <c r="G26" s="772">
        <v>15</v>
      </c>
      <c r="H26" s="773">
        <v>2</v>
      </c>
      <c r="I26" s="773">
        <v>9000</v>
      </c>
      <c r="J26" s="768">
        <f>(G26+H26)*I26*F26</f>
        <v>2754000</v>
      </c>
      <c r="K26" s="773">
        <v>8000</v>
      </c>
      <c r="L26" s="767">
        <f t="shared" ref="L26:L27" si="12">K26*F26*G26</f>
        <v>2160000</v>
      </c>
      <c r="M26" s="769">
        <f>3692*2</f>
        <v>7384</v>
      </c>
      <c r="N26" s="769">
        <f t="shared" ref="N26:N27" si="13">M26*H26*F26</f>
        <v>265824</v>
      </c>
      <c r="O26" s="774">
        <v>10000</v>
      </c>
      <c r="P26" s="129">
        <f t="shared" ref="P26:P27" si="14">O26*H26*2</f>
        <v>40000</v>
      </c>
      <c r="Q26" s="774"/>
      <c r="R26" s="769">
        <f>SUM(J26+L26+N26+P26)+Q26</f>
        <v>5219824</v>
      </c>
      <c r="S26" s="772"/>
      <c r="T26" s="773"/>
      <c r="U26" s="772"/>
      <c r="V26" s="773"/>
      <c r="W26" s="774"/>
      <c r="X26" s="774"/>
      <c r="Y26" s="774"/>
      <c r="Z26" s="774"/>
      <c r="AA26" s="774"/>
      <c r="AB26" s="774"/>
      <c r="AC26" s="774"/>
      <c r="AD26" s="773"/>
      <c r="AE26" s="773">
        <f>AD26+R26</f>
        <v>5219824</v>
      </c>
    </row>
    <row r="27" spans="1:32" s="756" customFormat="1" ht="282">
      <c r="A27" s="796">
        <v>16</v>
      </c>
      <c r="B27" s="126">
        <v>2</v>
      </c>
      <c r="C27" s="797" t="s">
        <v>1105</v>
      </c>
      <c r="D27" s="798" t="s">
        <v>1132</v>
      </c>
      <c r="E27" s="798" t="s">
        <v>934</v>
      </c>
      <c r="F27" s="772">
        <v>18</v>
      </c>
      <c r="G27" s="772">
        <v>15</v>
      </c>
      <c r="H27" s="773">
        <v>3</v>
      </c>
      <c r="I27" s="773">
        <v>9000</v>
      </c>
      <c r="J27" s="768">
        <f>(G27+H27)*I27*F27</f>
        <v>2916000</v>
      </c>
      <c r="K27" s="773">
        <v>8000</v>
      </c>
      <c r="L27" s="767">
        <f t="shared" si="12"/>
        <v>2160000</v>
      </c>
      <c r="M27" s="769">
        <f>3692*2</f>
        <v>7384</v>
      </c>
      <c r="N27" s="769">
        <f t="shared" si="13"/>
        <v>398736</v>
      </c>
      <c r="O27" s="774">
        <v>20000</v>
      </c>
      <c r="P27" s="129">
        <f t="shared" si="14"/>
        <v>120000</v>
      </c>
      <c r="Q27" s="774"/>
      <c r="R27" s="769">
        <f>SUM(J27+L27+N27+P27)+Q27</f>
        <v>5594736</v>
      </c>
      <c r="S27" s="772"/>
      <c r="T27" s="773"/>
      <c r="U27" s="772"/>
      <c r="V27" s="773"/>
      <c r="W27" s="774"/>
      <c r="X27" s="774"/>
      <c r="Y27" s="774"/>
      <c r="Z27" s="774"/>
      <c r="AA27" s="774"/>
      <c r="AB27" s="774"/>
      <c r="AC27" s="774"/>
      <c r="AD27" s="773"/>
      <c r="AE27" s="773">
        <f t="shared" ref="AE27:AE37" si="15">AD27+R27</f>
        <v>5594736</v>
      </c>
    </row>
    <row r="28" spans="1:32" s="756" customFormat="1" ht="174" customHeight="1">
      <c r="A28" s="796">
        <v>17</v>
      </c>
      <c r="B28" s="126">
        <v>3</v>
      </c>
      <c r="C28" s="908" t="s">
        <v>383</v>
      </c>
      <c r="D28" s="798" t="s">
        <v>347</v>
      </c>
      <c r="E28" s="798" t="s">
        <v>904</v>
      </c>
      <c r="F28" s="772">
        <v>8</v>
      </c>
      <c r="G28" s="772">
        <v>12</v>
      </c>
      <c r="H28" s="773">
        <v>2</v>
      </c>
      <c r="I28" s="773"/>
      <c r="J28" s="773"/>
      <c r="K28" s="773"/>
      <c r="L28" s="773"/>
      <c r="M28" s="773"/>
      <c r="N28" s="773"/>
      <c r="O28" s="774"/>
      <c r="P28" s="774"/>
      <c r="Q28" s="774"/>
      <c r="R28" s="773"/>
      <c r="S28" s="772">
        <v>45000</v>
      </c>
      <c r="T28" s="767">
        <f>S28*F28*(G28+H28)</f>
        <v>5040000</v>
      </c>
      <c r="U28" s="772">
        <v>15000</v>
      </c>
      <c r="V28" s="767">
        <f>U28*F28*(G28+H28)</f>
        <v>1680000</v>
      </c>
      <c r="W28" s="761">
        <v>14000</v>
      </c>
      <c r="X28" s="767">
        <f>W28*(G28+H28)</f>
        <v>196000</v>
      </c>
      <c r="Y28" s="774">
        <v>350000</v>
      </c>
      <c r="Z28" s="767">
        <f>Y28*(G28+H28)</f>
        <v>4900000</v>
      </c>
      <c r="AA28" s="774"/>
      <c r="AB28" s="774"/>
      <c r="AC28" s="774">
        <v>200000</v>
      </c>
      <c r="AD28" s="762">
        <f>T28+V28+X28+Z28+AA28+AB28+AC28</f>
        <v>12016000</v>
      </c>
      <c r="AE28" s="773">
        <f t="shared" si="15"/>
        <v>12016000</v>
      </c>
    </row>
    <row r="29" spans="1:32" s="756" customFormat="1" ht="318" customHeight="1">
      <c r="A29" s="796">
        <v>18</v>
      </c>
      <c r="B29" s="126">
        <v>4</v>
      </c>
      <c r="C29" s="908" t="s">
        <v>1106</v>
      </c>
      <c r="D29" s="798" t="s">
        <v>386</v>
      </c>
      <c r="E29" s="798" t="s">
        <v>1086</v>
      </c>
      <c r="F29" s="772">
        <v>18</v>
      </c>
      <c r="G29" s="772">
        <v>15</v>
      </c>
      <c r="H29" s="773">
        <v>2</v>
      </c>
      <c r="I29" s="773">
        <v>9000</v>
      </c>
      <c r="J29" s="768">
        <f>(G29+H29)*I29*F29</f>
        <v>2754000</v>
      </c>
      <c r="K29" s="773">
        <v>8000</v>
      </c>
      <c r="L29" s="767">
        <f>K29*F29*G29</f>
        <v>2160000</v>
      </c>
      <c r="M29" s="769">
        <f>3692*2</f>
        <v>7384</v>
      </c>
      <c r="N29" s="769">
        <f>M29*H29*F29</f>
        <v>265824</v>
      </c>
      <c r="O29" s="774">
        <v>10000</v>
      </c>
      <c r="P29" s="129">
        <f>O29*H29*2</f>
        <v>40000</v>
      </c>
      <c r="Q29" s="774"/>
      <c r="R29" s="769">
        <f>SUM(J29+L29+N29+P29)+Q29</f>
        <v>5219824</v>
      </c>
      <c r="S29" s="772"/>
      <c r="T29" s="773"/>
      <c r="U29" s="772"/>
      <c r="V29" s="773"/>
      <c r="W29" s="774"/>
      <c r="X29" s="774"/>
      <c r="Y29" s="774"/>
      <c r="Z29" s="774"/>
      <c r="AA29" s="774"/>
      <c r="AB29" s="774"/>
      <c r="AC29" s="774"/>
      <c r="AD29" s="773"/>
      <c r="AE29" s="773">
        <f t="shared" si="15"/>
        <v>5219824</v>
      </c>
      <c r="AF29" s="865"/>
    </row>
    <row r="30" spans="1:32" s="756" customFormat="1" ht="194.25" customHeight="1">
      <c r="A30" s="796">
        <v>19</v>
      </c>
      <c r="B30" s="126">
        <v>5</v>
      </c>
      <c r="C30" s="908" t="s">
        <v>383</v>
      </c>
      <c r="D30" s="798" t="s">
        <v>340</v>
      </c>
      <c r="E30" s="798" t="s">
        <v>1074</v>
      </c>
      <c r="F30" s="772">
        <v>8</v>
      </c>
      <c r="G30" s="772">
        <v>13</v>
      </c>
      <c r="H30" s="773">
        <v>2</v>
      </c>
      <c r="I30" s="773"/>
      <c r="J30" s="773"/>
      <c r="K30" s="773"/>
      <c r="L30" s="773"/>
      <c r="M30" s="773"/>
      <c r="N30" s="773"/>
      <c r="O30" s="774"/>
      <c r="P30" s="774"/>
      <c r="Q30" s="774"/>
      <c r="R30" s="773"/>
      <c r="S30" s="772">
        <v>45000</v>
      </c>
      <c r="T30" s="767">
        <f>S30*F30*(G30+H30)</f>
        <v>5400000</v>
      </c>
      <c r="U30" s="772">
        <v>21500</v>
      </c>
      <c r="V30" s="767">
        <f>U30*F30*(G30+H30)</f>
        <v>2580000</v>
      </c>
      <c r="W30" s="761">
        <v>14000</v>
      </c>
      <c r="X30" s="767">
        <f>W30*(G30+H30)</f>
        <v>210000</v>
      </c>
      <c r="Y30" s="774">
        <v>400000</v>
      </c>
      <c r="Z30" s="767">
        <f>Y30*(G30+H30)</f>
        <v>6000000</v>
      </c>
      <c r="AA30" s="761">
        <f>55000*(G30+H30)</f>
        <v>825000</v>
      </c>
      <c r="AB30" s="774"/>
      <c r="AC30" s="774">
        <v>599000</v>
      </c>
      <c r="AD30" s="762">
        <f>T30+V30+X30+Z30+AA30+AB30+AC30</f>
        <v>15614000</v>
      </c>
      <c r="AE30" s="773">
        <f t="shared" si="15"/>
        <v>15614000</v>
      </c>
    </row>
    <row r="31" spans="1:32" s="756" customFormat="1" ht="258">
      <c r="A31" s="796">
        <v>20</v>
      </c>
      <c r="B31" s="126">
        <v>6</v>
      </c>
      <c r="C31" s="908" t="s">
        <v>1106</v>
      </c>
      <c r="D31" s="798" t="s">
        <v>340</v>
      </c>
      <c r="E31" s="798" t="s">
        <v>1082</v>
      </c>
      <c r="F31" s="772">
        <v>18</v>
      </c>
      <c r="G31" s="772">
        <v>16</v>
      </c>
      <c r="H31" s="773">
        <v>3</v>
      </c>
      <c r="I31" s="773">
        <v>9000</v>
      </c>
      <c r="J31" s="768">
        <f>(G31+H31)*I31*F31</f>
        <v>3078000</v>
      </c>
      <c r="K31" s="773">
        <v>8000</v>
      </c>
      <c r="L31" s="767">
        <f>K31*F31*G31</f>
        <v>2304000</v>
      </c>
      <c r="M31" s="769">
        <f>3692*2</f>
        <v>7384</v>
      </c>
      <c r="N31" s="769">
        <f>M31*H31*F31</f>
        <v>398736</v>
      </c>
      <c r="O31" s="774">
        <v>10000</v>
      </c>
      <c r="P31" s="129">
        <f>O31*H31*2</f>
        <v>60000</v>
      </c>
      <c r="Q31" s="774"/>
      <c r="R31" s="769">
        <f>SUM(J31+L31+N31+P31)+Q31</f>
        <v>5840736</v>
      </c>
      <c r="S31" s="772"/>
      <c r="T31" s="773"/>
      <c r="U31" s="774"/>
      <c r="V31" s="773"/>
      <c r="W31" s="774"/>
      <c r="X31" s="774"/>
      <c r="Y31" s="774"/>
      <c r="Z31" s="774"/>
      <c r="AA31" s="774"/>
      <c r="AB31" s="774"/>
      <c r="AC31" s="774"/>
      <c r="AD31" s="773"/>
      <c r="AE31" s="773">
        <f t="shared" si="15"/>
        <v>5840736</v>
      </c>
    </row>
    <row r="32" spans="1:32" s="756" customFormat="1" ht="251.25" customHeight="1">
      <c r="A32" s="796">
        <v>21</v>
      </c>
      <c r="B32" s="126">
        <v>7</v>
      </c>
      <c r="C32" s="908" t="s">
        <v>383</v>
      </c>
      <c r="D32" s="798" t="s">
        <v>340</v>
      </c>
      <c r="E32" s="798" t="s">
        <v>927</v>
      </c>
      <c r="F32" s="772">
        <v>8</v>
      </c>
      <c r="G32" s="772">
        <v>12</v>
      </c>
      <c r="H32" s="773">
        <v>2</v>
      </c>
      <c r="I32" s="773"/>
      <c r="J32" s="773"/>
      <c r="K32" s="773"/>
      <c r="L32" s="773"/>
      <c r="M32" s="773"/>
      <c r="N32" s="773"/>
      <c r="O32" s="774"/>
      <c r="P32" s="774"/>
      <c r="Q32" s="774"/>
      <c r="R32" s="773"/>
      <c r="S32" s="772">
        <v>40000</v>
      </c>
      <c r="T32" s="767">
        <f>S32*F32*(G32+H32)</f>
        <v>4480000</v>
      </c>
      <c r="U32" s="772">
        <v>14638</v>
      </c>
      <c r="V32" s="767">
        <f>U32*F32*(G32+H32)</f>
        <v>1639456</v>
      </c>
      <c r="W32" s="761">
        <v>14000</v>
      </c>
      <c r="X32" s="767">
        <f>W32*(G32+H32)</f>
        <v>196000</v>
      </c>
      <c r="Y32" s="774">
        <v>380000</v>
      </c>
      <c r="Z32" s="767">
        <f>Y32*(G32+H32)</f>
        <v>5320000</v>
      </c>
      <c r="AA32" s="761">
        <f>55000*(G32+H32)</f>
        <v>770000</v>
      </c>
      <c r="AB32" s="774"/>
      <c r="AC32" s="774">
        <v>200000</v>
      </c>
      <c r="AD32" s="762">
        <f>T32+V32+X32+Z32+AA32+AB32+AC32</f>
        <v>12605456</v>
      </c>
      <c r="AE32" s="773">
        <f t="shared" si="15"/>
        <v>12605456</v>
      </c>
    </row>
    <row r="33" spans="1:31" s="756" customFormat="1" ht="258">
      <c r="A33" s="796">
        <v>22</v>
      </c>
      <c r="B33" s="126">
        <v>8</v>
      </c>
      <c r="C33" s="908" t="s">
        <v>1106</v>
      </c>
      <c r="D33" s="798" t="s">
        <v>1133</v>
      </c>
      <c r="E33" s="798" t="s">
        <v>1087</v>
      </c>
      <c r="F33" s="772">
        <v>18</v>
      </c>
      <c r="G33" s="772">
        <v>12</v>
      </c>
      <c r="H33" s="773">
        <v>2</v>
      </c>
      <c r="I33" s="773">
        <v>9000</v>
      </c>
      <c r="J33" s="768">
        <f>(G33+H33)*I33*F33</f>
        <v>2268000</v>
      </c>
      <c r="K33" s="773">
        <v>8000</v>
      </c>
      <c r="L33" s="767">
        <f>K33*F33*G33</f>
        <v>1728000</v>
      </c>
      <c r="M33" s="769">
        <f>3692*2</f>
        <v>7384</v>
      </c>
      <c r="N33" s="769">
        <f>M33*H33*F33</f>
        <v>265824</v>
      </c>
      <c r="O33" s="774">
        <v>10000</v>
      </c>
      <c r="P33" s="129">
        <f>O33*H33*2</f>
        <v>40000</v>
      </c>
      <c r="Q33" s="774"/>
      <c r="R33" s="769">
        <f>SUM(J33+L33+N33+P33)+Q33</f>
        <v>4301824</v>
      </c>
      <c r="S33" s="772"/>
      <c r="T33" s="773"/>
      <c r="U33" s="772"/>
      <c r="V33" s="773"/>
      <c r="W33" s="774"/>
      <c r="X33" s="774"/>
      <c r="Y33" s="774"/>
      <c r="Z33" s="774"/>
      <c r="AA33" s="774"/>
      <c r="AB33" s="774"/>
      <c r="AC33" s="774"/>
      <c r="AD33" s="773"/>
      <c r="AE33" s="773">
        <f t="shared" si="15"/>
        <v>4301824</v>
      </c>
    </row>
    <row r="34" spans="1:31" s="756" customFormat="1" ht="258">
      <c r="A34" s="796">
        <v>23</v>
      </c>
      <c r="B34" s="126">
        <v>9</v>
      </c>
      <c r="C34" s="908" t="s">
        <v>1104</v>
      </c>
      <c r="D34" s="798" t="s">
        <v>310</v>
      </c>
      <c r="E34" s="798" t="s">
        <v>1075</v>
      </c>
      <c r="F34" s="772">
        <v>12</v>
      </c>
      <c r="G34" s="772">
        <v>12</v>
      </c>
      <c r="H34" s="773">
        <v>2</v>
      </c>
      <c r="I34" s="773"/>
      <c r="J34" s="773"/>
      <c r="K34" s="773"/>
      <c r="L34" s="773"/>
      <c r="M34" s="773"/>
      <c r="N34" s="773"/>
      <c r="O34" s="774"/>
      <c r="P34" s="774"/>
      <c r="Q34" s="774"/>
      <c r="R34" s="773"/>
      <c r="S34" s="772">
        <v>45000</v>
      </c>
      <c r="T34" s="767">
        <f>S34*F34*(G34+H34)</f>
        <v>7560000</v>
      </c>
      <c r="U34" s="772">
        <v>15000</v>
      </c>
      <c r="V34" s="767">
        <f>U34*F34*(G34+H34)</f>
        <v>2520000</v>
      </c>
      <c r="W34" s="761">
        <v>14000</v>
      </c>
      <c r="X34" s="767">
        <f>W34*(G34+H34)</f>
        <v>196000</v>
      </c>
      <c r="Y34" s="774">
        <v>400000</v>
      </c>
      <c r="Z34" s="767">
        <f>Y34*(G34+H34)</f>
        <v>5600000</v>
      </c>
      <c r="AA34" s="774"/>
      <c r="AB34" s="774"/>
      <c r="AC34" s="774">
        <v>200000</v>
      </c>
      <c r="AD34" s="762">
        <f>T34+V34+X34+Z34+AA34+AB34+AC34</f>
        <v>16076000</v>
      </c>
      <c r="AE34" s="773">
        <f t="shared" si="15"/>
        <v>16076000</v>
      </c>
    </row>
    <row r="35" spans="1:31" s="756" customFormat="1" ht="258">
      <c r="A35" s="796">
        <v>24</v>
      </c>
      <c r="B35" s="126">
        <v>10</v>
      </c>
      <c r="C35" s="908" t="s">
        <v>1107</v>
      </c>
      <c r="D35" s="798" t="s">
        <v>374</v>
      </c>
      <c r="E35" s="798" t="s">
        <v>1081</v>
      </c>
      <c r="F35" s="772">
        <v>18</v>
      </c>
      <c r="G35" s="772">
        <v>15</v>
      </c>
      <c r="H35" s="773">
        <v>2</v>
      </c>
      <c r="I35" s="773">
        <v>9000</v>
      </c>
      <c r="J35" s="768">
        <f>(G35+H35)*I35*F35</f>
        <v>2754000</v>
      </c>
      <c r="K35" s="773">
        <v>8000</v>
      </c>
      <c r="L35" s="767">
        <f>K35*F35*G35</f>
        <v>2160000</v>
      </c>
      <c r="M35" s="769">
        <f>3692*2</f>
        <v>7384</v>
      </c>
      <c r="N35" s="769">
        <f>M35*H35*F35</f>
        <v>265824</v>
      </c>
      <c r="O35" s="774">
        <v>10000</v>
      </c>
      <c r="P35" s="129">
        <f>O35*H35*2</f>
        <v>40000</v>
      </c>
      <c r="Q35" s="774"/>
      <c r="R35" s="769">
        <f>SUM(J35+L35+N35+P35)+Q35</f>
        <v>5219824</v>
      </c>
      <c r="S35" s="772"/>
      <c r="T35" s="773"/>
      <c r="U35" s="772"/>
      <c r="V35" s="773"/>
      <c r="W35" s="774"/>
      <c r="X35" s="774"/>
      <c r="Y35" s="774"/>
      <c r="Z35" s="774"/>
      <c r="AA35" s="774"/>
      <c r="AB35" s="774"/>
      <c r="AC35" s="774"/>
      <c r="AD35" s="773"/>
      <c r="AE35" s="773">
        <f t="shared" si="15"/>
        <v>5219824</v>
      </c>
    </row>
    <row r="36" spans="1:31" s="756" customFormat="1" ht="172.5" customHeight="1">
      <c r="A36" s="129">
        <v>25</v>
      </c>
      <c r="B36" s="126">
        <v>11</v>
      </c>
      <c r="C36" s="905" t="s">
        <v>315</v>
      </c>
      <c r="D36" s="798" t="s">
        <v>374</v>
      </c>
      <c r="E36" s="798" t="s">
        <v>413</v>
      </c>
      <c r="F36" s="772">
        <v>8</v>
      </c>
      <c r="G36" s="772">
        <v>10</v>
      </c>
      <c r="H36" s="773">
        <v>2</v>
      </c>
      <c r="I36" s="773"/>
      <c r="J36" s="773"/>
      <c r="K36" s="773"/>
      <c r="L36" s="773"/>
      <c r="M36" s="773"/>
      <c r="N36" s="773"/>
      <c r="O36" s="774"/>
      <c r="P36" s="774"/>
      <c r="Q36" s="774"/>
      <c r="R36" s="773"/>
      <c r="S36" s="772">
        <v>45000</v>
      </c>
      <c r="T36" s="767">
        <f t="shared" ref="T36:T37" si="16">S36*F36*(G36+H36)</f>
        <v>4320000</v>
      </c>
      <c r="U36" s="772">
        <v>15000</v>
      </c>
      <c r="V36" s="767">
        <f t="shared" ref="V36:V37" si="17">U36*F36*(G36+H36)</f>
        <v>1440000</v>
      </c>
      <c r="W36" s="761">
        <v>14000</v>
      </c>
      <c r="X36" s="767">
        <f t="shared" ref="X36:X37" si="18">W36*(G36+H36)</f>
        <v>168000</v>
      </c>
      <c r="Y36" s="774">
        <v>400000</v>
      </c>
      <c r="Z36" s="767">
        <f t="shared" ref="Z36:Z37" si="19">Y36*(G36+H36)</f>
        <v>4800000</v>
      </c>
      <c r="AA36" s="761">
        <f t="shared" ref="AA36:AA37" si="20">55000*(G36+H36)</f>
        <v>660000</v>
      </c>
      <c r="AB36" s="774"/>
      <c r="AC36" s="774">
        <v>200000</v>
      </c>
      <c r="AD36" s="762">
        <f t="shared" ref="AD36:AD37" si="21">T36+V36+X36+Z36+AA36+AB36+AC36</f>
        <v>11588000</v>
      </c>
      <c r="AE36" s="773">
        <f t="shared" si="15"/>
        <v>11588000</v>
      </c>
    </row>
    <row r="37" spans="1:31" s="756" customFormat="1" ht="76.5">
      <c r="A37" s="129">
        <v>26</v>
      </c>
      <c r="B37" s="126">
        <v>12</v>
      </c>
      <c r="C37" s="905" t="s">
        <v>1098</v>
      </c>
      <c r="D37" s="798" t="s">
        <v>376</v>
      </c>
      <c r="E37" s="798" t="s">
        <v>398</v>
      </c>
      <c r="F37" s="772">
        <v>8</v>
      </c>
      <c r="G37" s="772">
        <v>10</v>
      </c>
      <c r="H37" s="773">
        <v>2</v>
      </c>
      <c r="I37" s="773"/>
      <c r="J37" s="773"/>
      <c r="K37" s="773"/>
      <c r="L37" s="773"/>
      <c r="M37" s="773"/>
      <c r="N37" s="773"/>
      <c r="O37" s="774"/>
      <c r="P37" s="774"/>
      <c r="Q37" s="774"/>
      <c r="R37" s="773"/>
      <c r="S37" s="772">
        <v>35000</v>
      </c>
      <c r="T37" s="767">
        <f t="shared" si="16"/>
        <v>3360000</v>
      </c>
      <c r="U37" s="772">
        <v>10000</v>
      </c>
      <c r="V37" s="767">
        <f t="shared" si="17"/>
        <v>960000</v>
      </c>
      <c r="W37" s="761">
        <v>14000</v>
      </c>
      <c r="X37" s="767">
        <f t="shared" si="18"/>
        <v>168000</v>
      </c>
      <c r="Y37" s="774">
        <v>350000</v>
      </c>
      <c r="Z37" s="767">
        <f t="shared" si="19"/>
        <v>4200000</v>
      </c>
      <c r="AA37" s="761">
        <f t="shared" si="20"/>
        <v>660000</v>
      </c>
      <c r="AB37" s="774"/>
      <c r="AC37" s="774">
        <v>120000</v>
      </c>
      <c r="AD37" s="762">
        <f t="shared" si="21"/>
        <v>9468000</v>
      </c>
      <c r="AE37" s="773">
        <f t="shared" si="15"/>
        <v>9468000</v>
      </c>
    </row>
    <row r="38" spans="1:31" s="756" customFormat="1" ht="76.5" customHeight="1">
      <c r="A38" s="1661" t="s">
        <v>38</v>
      </c>
      <c r="B38" s="1661"/>
      <c r="C38" s="1661"/>
      <c r="D38" s="1661"/>
      <c r="E38" s="1661"/>
      <c r="F38" s="1661"/>
      <c r="G38" s="1661"/>
      <c r="H38" s="1661"/>
      <c r="I38" s="775"/>
      <c r="J38" s="868">
        <f>SUM(J26:J37)</f>
        <v>16524000</v>
      </c>
      <c r="K38" s="868"/>
      <c r="L38" s="868">
        <f>SUM(L26:L37)</f>
        <v>12672000</v>
      </c>
      <c r="M38" s="868"/>
      <c r="N38" s="868">
        <f>SUM(N26:N37)</f>
        <v>1860768</v>
      </c>
      <c r="O38" s="776"/>
      <c r="P38" s="868">
        <f>SUM(P26:P37)</f>
        <v>340000</v>
      </c>
      <c r="Q38" s="776"/>
      <c r="R38" s="868">
        <f>SUM(R26:R37)</f>
        <v>31396768</v>
      </c>
      <c r="S38" s="777"/>
      <c r="T38" s="868">
        <f>SUM(T26:T37)</f>
        <v>30160000</v>
      </c>
      <c r="U38" s="777"/>
      <c r="V38" s="868">
        <f>SUM(V26:V37)</f>
        <v>10819456</v>
      </c>
      <c r="W38" s="776"/>
      <c r="X38" s="868">
        <f>SUM(X26:X37)</f>
        <v>1134000</v>
      </c>
      <c r="Y38" s="776"/>
      <c r="Z38" s="868">
        <f t="shared" ref="Z38:AA38" si="22">SUM(Z26:Z37)</f>
        <v>30820000</v>
      </c>
      <c r="AA38" s="868">
        <f t="shared" si="22"/>
        <v>2915000</v>
      </c>
      <c r="AB38" s="776"/>
      <c r="AC38" s="868">
        <f t="shared" ref="AC38:AD38" si="23">SUM(AC26:AC37)</f>
        <v>1519000</v>
      </c>
      <c r="AD38" s="868">
        <f t="shared" si="23"/>
        <v>77367456</v>
      </c>
      <c r="AE38" s="868">
        <f>SUM(AE26:AE37)</f>
        <v>108764224</v>
      </c>
    </row>
    <row r="39" spans="1:31" s="912" customFormat="1" ht="64.5">
      <c r="A39" s="1676" t="s">
        <v>1156</v>
      </c>
      <c r="B39" s="1676"/>
      <c r="C39" s="1676"/>
      <c r="D39" s="1676"/>
      <c r="E39" s="1676"/>
      <c r="F39" s="1676"/>
      <c r="G39" s="1676"/>
      <c r="H39" s="1676"/>
      <c r="I39" s="1676"/>
      <c r="J39" s="1676"/>
      <c r="K39" s="1676"/>
      <c r="L39" s="1676"/>
      <c r="M39" s="1676"/>
      <c r="N39" s="1676"/>
      <c r="O39" s="1676"/>
      <c r="P39" s="1676"/>
      <c r="Q39" s="1676"/>
      <c r="R39" s="1676"/>
      <c r="S39" s="1676"/>
      <c r="T39" s="1676"/>
      <c r="U39" s="1676"/>
      <c r="V39" s="1676"/>
      <c r="W39" s="1676"/>
      <c r="X39" s="1676"/>
      <c r="Y39" s="1676"/>
      <c r="Z39" s="1676"/>
      <c r="AA39" s="1676"/>
      <c r="AB39" s="1676"/>
      <c r="AC39" s="1676"/>
      <c r="AD39" s="1676"/>
      <c r="AE39" s="1676"/>
    </row>
    <row r="40" spans="1:31" s="756" customFormat="1" ht="193.5">
      <c r="A40" s="796">
        <v>27</v>
      </c>
      <c r="B40" s="126">
        <v>1</v>
      </c>
      <c r="C40" s="908" t="s">
        <v>1108</v>
      </c>
      <c r="D40" s="798" t="s">
        <v>1134</v>
      </c>
      <c r="E40" s="798" t="s">
        <v>1088</v>
      </c>
      <c r="F40" s="772">
        <v>18</v>
      </c>
      <c r="G40" s="772">
        <v>15</v>
      </c>
      <c r="H40" s="773">
        <v>2</v>
      </c>
      <c r="I40" s="773">
        <v>11000</v>
      </c>
      <c r="J40" s="768">
        <f>(G40+H40)*I40*F40</f>
        <v>3366000</v>
      </c>
      <c r="K40" s="773">
        <v>10000</v>
      </c>
      <c r="L40" s="767">
        <f t="shared" ref="L40:L41" si="24">K40*F40*G40</f>
        <v>2700000</v>
      </c>
      <c r="M40" s="769">
        <f>3692*2</f>
        <v>7384</v>
      </c>
      <c r="N40" s="769">
        <f t="shared" ref="N40:N46" si="25">M40*H40*F40</f>
        <v>265824</v>
      </c>
      <c r="O40" s="774"/>
      <c r="P40" s="774"/>
      <c r="Q40" s="774">
        <v>185952</v>
      </c>
      <c r="R40" s="769">
        <f>SUM(J40+L40+N40+P40)+Q40</f>
        <v>6517776</v>
      </c>
      <c r="S40" s="772"/>
      <c r="T40" s="773"/>
      <c r="U40" s="772"/>
      <c r="V40" s="773"/>
      <c r="W40" s="774"/>
      <c r="X40" s="774"/>
      <c r="Y40" s="774"/>
      <c r="Z40" s="774"/>
      <c r="AA40" s="774"/>
      <c r="AB40" s="774"/>
      <c r="AC40" s="774"/>
      <c r="AD40" s="773"/>
      <c r="AE40" s="773">
        <f>AD40+R40</f>
        <v>6517776</v>
      </c>
    </row>
    <row r="41" spans="1:31" s="756" customFormat="1" ht="193.5">
      <c r="A41" s="796">
        <v>28</v>
      </c>
      <c r="B41" s="126">
        <v>2</v>
      </c>
      <c r="C41" s="908" t="s">
        <v>1108</v>
      </c>
      <c r="D41" s="798" t="s">
        <v>347</v>
      </c>
      <c r="E41" s="798" t="s">
        <v>1082</v>
      </c>
      <c r="F41" s="772">
        <v>18</v>
      </c>
      <c r="G41" s="772">
        <v>15</v>
      </c>
      <c r="H41" s="773">
        <v>2</v>
      </c>
      <c r="I41" s="773">
        <v>9000</v>
      </c>
      <c r="J41" s="768">
        <f>(G41+H41)*I41*F41</f>
        <v>2754000</v>
      </c>
      <c r="K41" s="773">
        <v>8000</v>
      </c>
      <c r="L41" s="767">
        <f t="shared" si="24"/>
        <v>2160000</v>
      </c>
      <c r="M41" s="769">
        <f>3692*2</f>
        <v>7384</v>
      </c>
      <c r="N41" s="769">
        <f t="shared" si="25"/>
        <v>265824</v>
      </c>
      <c r="O41" s="774"/>
      <c r="P41" s="774"/>
      <c r="Q41" s="774">
        <v>92000</v>
      </c>
      <c r="R41" s="769">
        <f>SUM(J41+L41+N41+P41)+Q41</f>
        <v>5271824</v>
      </c>
      <c r="S41" s="772"/>
      <c r="T41" s="773"/>
      <c r="U41" s="772"/>
      <c r="V41" s="773"/>
      <c r="W41" s="774"/>
      <c r="X41" s="774"/>
      <c r="Y41" s="774"/>
      <c r="Z41" s="774"/>
      <c r="AA41" s="774"/>
      <c r="AB41" s="774"/>
      <c r="AC41" s="774"/>
      <c r="AD41" s="773"/>
      <c r="AE41" s="773">
        <f t="shared" ref="AE41:AE47" si="26">AD41+R41</f>
        <v>5271824</v>
      </c>
    </row>
    <row r="42" spans="1:31" s="756" customFormat="1" ht="141">
      <c r="A42" s="796">
        <v>29</v>
      </c>
      <c r="B42" s="126">
        <v>3</v>
      </c>
      <c r="C42" s="908" t="s">
        <v>383</v>
      </c>
      <c r="D42" s="798" t="s">
        <v>1135</v>
      </c>
      <c r="E42" s="798" t="s">
        <v>953</v>
      </c>
      <c r="F42" s="772">
        <v>10</v>
      </c>
      <c r="G42" s="772">
        <v>12</v>
      </c>
      <c r="H42" s="773">
        <v>2</v>
      </c>
      <c r="I42" s="773"/>
      <c r="J42" s="773"/>
      <c r="K42" s="773"/>
      <c r="L42" s="773"/>
      <c r="M42" s="773"/>
      <c r="N42" s="773"/>
      <c r="O42" s="774"/>
      <c r="P42" s="774"/>
      <c r="Q42" s="774"/>
      <c r="R42" s="773"/>
      <c r="S42" s="772">
        <v>43000</v>
      </c>
      <c r="T42" s="125">
        <f t="shared" ref="T42" si="27">S42*F42*(G42+H42)</f>
        <v>6020000</v>
      </c>
      <c r="U42" s="774">
        <v>20000</v>
      </c>
      <c r="V42" s="767">
        <f>U42*F42*(G42+H42)</f>
        <v>2800000</v>
      </c>
      <c r="W42" s="774">
        <v>15000</v>
      </c>
      <c r="X42" s="767">
        <f>W42*(G42+H42)</f>
        <v>210000</v>
      </c>
      <c r="Y42" s="774">
        <v>600000</v>
      </c>
      <c r="Z42" s="767">
        <f>Y42*(G42+H42)</f>
        <v>8400000</v>
      </c>
      <c r="AA42" s="761">
        <f t="shared" ref="AA42" si="28">55000*(G42+H42)</f>
        <v>770000</v>
      </c>
      <c r="AB42" s="774"/>
      <c r="AC42" s="774">
        <f>43207+300000</f>
        <v>343207</v>
      </c>
      <c r="AD42" s="762">
        <f>T42+V42+X42+Z42+AA42+AB42+AC42</f>
        <v>18543207</v>
      </c>
      <c r="AE42" s="773">
        <f t="shared" si="26"/>
        <v>18543207</v>
      </c>
    </row>
    <row r="43" spans="1:31" s="756" customFormat="1" ht="282">
      <c r="A43" s="796">
        <v>30</v>
      </c>
      <c r="B43" s="126">
        <v>4</v>
      </c>
      <c r="C43" s="797" t="s">
        <v>1105</v>
      </c>
      <c r="D43" s="798" t="s">
        <v>1132</v>
      </c>
      <c r="E43" s="798" t="s">
        <v>934</v>
      </c>
      <c r="F43" s="772">
        <v>15</v>
      </c>
      <c r="G43" s="772">
        <v>15</v>
      </c>
      <c r="H43" s="773">
        <v>2</v>
      </c>
      <c r="I43" s="773">
        <v>9000</v>
      </c>
      <c r="J43" s="768">
        <f>(G43+H43)*I43*F43</f>
        <v>2295000</v>
      </c>
      <c r="K43" s="773">
        <v>8000</v>
      </c>
      <c r="L43" s="767">
        <f t="shared" ref="L43:L44" si="29">K43*F43*G43</f>
        <v>1800000</v>
      </c>
      <c r="M43" s="769">
        <f>3692*2</f>
        <v>7384</v>
      </c>
      <c r="N43" s="769">
        <f t="shared" si="25"/>
        <v>221520</v>
      </c>
      <c r="O43" s="774">
        <v>10000</v>
      </c>
      <c r="P43" s="129">
        <f t="shared" ref="P43:P44" si="30">O43*H43*2</f>
        <v>40000</v>
      </c>
      <c r="Q43" s="774"/>
      <c r="R43" s="769">
        <f t="shared" ref="R43:R44" si="31">SUM(J43+L43+N43+P43)+Q43</f>
        <v>4356520</v>
      </c>
      <c r="S43" s="772"/>
      <c r="T43" s="773"/>
      <c r="U43" s="772"/>
      <c r="V43" s="773"/>
      <c r="W43" s="774"/>
      <c r="X43" s="774"/>
      <c r="Y43" s="774"/>
      <c r="Z43" s="774"/>
      <c r="AA43" s="774"/>
      <c r="AB43" s="774"/>
      <c r="AC43" s="774"/>
      <c r="AD43" s="773"/>
      <c r="AE43" s="773">
        <f t="shared" si="26"/>
        <v>4356520</v>
      </c>
    </row>
    <row r="44" spans="1:31" s="756" customFormat="1" ht="258">
      <c r="A44" s="796">
        <v>31</v>
      </c>
      <c r="B44" s="126">
        <v>5</v>
      </c>
      <c r="C44" s="908" t="s">
        <v>1106</v>
      </c>
      <c r="D44" s="798" t="s">
        <v>386</v>
      </c>
      <c r="E44" s="798" t="s">
        <v>1089</v>
      </c>
      <c r="F44" s="772">
        <v>18</v>
      </c>
      <c r="G44" s="772">
        <v>15</v>
      </c>
      <c r="H44" s="773">
        <v>2</v>
      </c>
      <c r="I44" s="773">
        <v>9000</v>
      </c>
      <c r="J44" s="768">
        <f>(G44+H44)*I44*F44</f>
        <v>2754000</v>
      </c>
      <c r="K44" s="773">
        <v>8000</v>
      </c>
      <c r="L44" s="767">
        <f t="shared" si="29"/>
        <v>2160000</v>
      </c>
      <c r="M44" s="769">
        <f>3692*2</f>
        <v>7384</v>
      </c>
      <c r="N44" s="769">
        <f t="shared" si="25"/>
        <v>265824</v>
      </c>
      <c r="O44" s="774">
        <v>10000</v>
      </c>
      <c r="P44" s="129">
        <f t="shared" si="30"/>
        <v>40000</v>
      </c>
      <c r="Q44" s="774"/>
      <c r="R44" s="769">
        <f t="shared" si="31"/>
        <v>5219824</v>
      </c>
      <c r="S44" s="772"/>
      <c r="T44" s="773"/>
      <c r="U44" s="774"/>
      <c r="V44" s="773"/>
      <c r="W44" s="774"/>
      <c r="X44" s="774"/>
      <c r="Y44" s="774"/>
      <c r="Z44" s="774"/>
      <c r="AA44" s="774"/>
      <c r="AB44" s="774"/>
      <c r="AC44" s="774"/>
      <c r="AD44" s="773"/>
      <c r="AE44" s="773">
        <f t="shared" si="26"/>
        <v>5219824</v>
      </c>
    </row>
    <row r="45" spans="1:31" s="756" customFormat="1" ht="141">
      <c r="A45" s="796">
        <v>32</v>
      </c>
      <c r="B45" s="126">
        <v>6</v>
      </c>
      <c r="C45" s="908" t="s">
        <v>383</v>
      </c>
      <c r="D45" s="798" t="s">
        <v>397</v>
      </c>
      <c r="E45" s="798" t="s">
        <v>353</v>
      </c>
      <c r="F45" s="772">
        <v>8</v>
      </c>
      <c r="G45" s="772">
        <v>12</v>
      </c>
      <c r="H45" s="773">
        <v>2</v>
      </c>
      <c r="I45" s="773"/>
      <c r="J45" s="773"/>
      <c r="K45" s="773"/>
      <c r="L45" s="773"/>
      <c r="M45" s="773"/>
      <c r="N45" s="773"/>
      <c r="O45" s="774"/>
      <c r="P45" s="774"/>
      <c r="Q45" s="774"/>
      <c r="R45" s="773"/>
      <c r="S45" s="772">
        <v>43000</v>
      </c>
      <c r="T45" s="767">
        <f t="shared" ref="T45:T47" si="32">S45*F45*(G45+H45)</f>
        <v>4816000</v>
      </c>
      <c r="U45" s="774">
        <v>20000</v>
      </c>
      <c r="V45" s="767">
        <f>U45*F45*(G45+H45)</f>
        <v>2240000</v>
      </c>
      <c r="W45" s="774">
        <v>15000</v>
      </c>
      <c r="X45" s="767">
        <f>W45*(G45+H45)</f>
        <v>210000</v>
      </c>
      <c r="Y45" s="774">
        <v>600000</v>
      </c>
      <c r="Z45" s="767">
        <f>Y45*(G45+H45)</f>
        <v>8400000</v>
      </c>
      <c r="AA45" s="761">
        <f t="shared" ref="AA45:AA47" si="33">55000*(G45+H45)</f>
        <v>770000</v>
      </c>
      <c r="AB45" s="774"/>
      <c r="AC45" s="774">
        <v>336207</v>
      </c>
      <c r="AD45" s="762">
        <f>T45+V45+X45+Z45+AA45+AB45+AC45</f>
        <v>16772207</v>
      </c>
      <c r="AE45" s="773">
        <f t="shared" si="26"/>
        <v>16772207</v>
      </c>
    </row>
    <row r="46" spans="1:31" s="756" customFormat="1" ht="193.5">
      <c r="A46" s="796">
        <v>33</v>
      </c>
      <c r="B46" s="126">
        <v>7</v>
      </c>
      <c r="C46" s="908" t="s">
        <v>1108</v>
      </c>
      <c r="D46" s="798" t="s">
        <v>340</v>
      </c>
      <c r="E46" s="798" t="s">
        <v>1090</v>
      </c>
      <c r="F46" s="772">
        <v>18</v>
      </c>
      <c r="G46" s="772">
        <v>15</v>
      </c>
      <c r="H46" s="773">
        <v>2</v>
      </c>
      <c r="I46" s="773">
        <v>9000</v>
      </c>
      <c r="J46" s="768">
        <f>(G46+H46)*I46*F46</f>
        <v>2754000</v>
      </c>
      <c r="K46" s="773">
        <v>8000</v>
      </c>
      <c r="L46" s="767">
        <f>K46*F46*G46</f>
        <v>2160000</v>
      </c>
      <c r="M46" s="769">
        <f>3692*2</f>
        <v>7384</v>
      </c>
      <c r="N46" s="769">
        <f t="shared" si="25"/>
        <v>265824</v>
      </c>
      <c r="O46" s="774">
        <v>10000</v>
      </c>
      <c r="P46" s="129">
        <f>O46*H46*2</f>
        <v>40000</v>
      </c>
      <c r="Q46" s="774"/>
      <c r="R46" s="769">
        <f>SUM(J46+L46+N46+P46)+Q46</f>
        <v>5219824</v>
      </c>
      <c r="S46" s="772"/>
      <c r="T46" s="773"/>
      <c r="U46" s="774"/>
      <c r="V46" s="773"/>
      <c r="W46" s="774"/>
      <c r="X46" s="774"/>
      <c r="Y46" s="774"/>
      <c r="Z46" s="774"/>
      <c r="AA46" s="774"/>
      <c r="AB46" s="774"/>
      <c r="AC46" s="774"/>
      <c r="AD46" s="773"/>
      <c r="AE46" s="773">
        <f t="shared" si="26"/>
        <v>5219824</v>
      </c>
    </row>
    <row r="47" spans="1:31" s="756" customFormat="1" ht="76.5">
      <c r="A47" s="796">
        <v>34</v>
      </c>
      <c r="B47" s="126">
        <v>8</v>
      </c>
      <c r="C47" s="905" t="s">
        <v>315</v>
      </c>
      <c r="D47" s="798" t="s">
        <v>376</v>
      </c>
      <c r="E47" s="798" t="s">
        <v>953</v>
      </c>
      <c r="F47" s="772">
        <v>8</v>
      </c>
      <c r="G47" s="772">
        <v>12</v>
      </c>
      <c r="H47" s="773">
        <v>2</v>
      </c>
      <c r="I47" s="773"/>
      <c r="J47" s="773"/>
      <c r="K47" s="773"/>
      <c r="L47" s="773"/>
      <c r="M47" s="773"/>
      <c r="N47" s="773"/>
      <c r="O47" s="774"/>
      <c r="P47" s="774"/>
      <c r="Q47" s="774"/>
      <c r="R47" s="773"/>
      <c r="S47" s="772">
        <v>43000</v>
      </c>
      <c r="T47" s="767">
        <f t="shared" si="32"/>
        <v>4816000</v>
      </c>
      <c r="U47" s="774">
        <v>20000</v>
      </c>
      <c r="V47" s="767">
        <f>U47*F47*(G47+H47)</f>
        <v>2240000</v>
      </c>
      <c r="W47" s="774">
        <v>15000</v>
      </c>
      <c r="X47" s="767">
        <f>W47*(G47+H47)</f>
        <v>210000</v>
      </c>
      <c r="Y47" s="774">
        <v>600000</v>
      </c>
      <c r="Z47" s="767">
        <f>Y47*(G47+H47)</f>
        <v>8400000</v>
      </c>
      <c r="AA47" s="761">
        <f t="shared" si="33"/>
        <v>770000</v>
      </c>
      <c r="AB47" s="774"/>
      <c r="AC47" s="774">
        <v>344255</v>
      </c>
      <c r="AD47" s="762">
        <f>T47+V47+X47+Z47+AA47+AB47+AC47</f>
        <v>16780255</v>
      </c>
      <c r="AE47" s="773">
        <f t="shared" si="26"/>
        <v>16780255</v>
      </c>
    </row>
    <row r="48" spans="1:31" s="756" customFormat="1" ht="76.5" customHeight="1">
      <c r="A48" s="1661" t="s">
        <v>38</v>
      </c>
      <c r="B48" s="1661"/>
      <c r="C48" s="1661"/>
      <c r="D48" s="1661"/>
      <c r="E48" s="1661"/>
      <c r="F48" s="1661"/>
      <c r="G48" s="1661"/>
      <c r="H48" s="1661"/>
      <c r="I48" s="870"/>
      <c r="J48" s="870">
        <f>SUM(J40:J47)</f>
        <v>13923000</v>
      </c>
      <c r="K48" s="870"/>
      <c r="L48" s="870">
        <f>SUM(L40:L47)</f>
        <v>10980000</v>
      </c>
      <c r="M48" s="870"/>
      <c r="N48" s="870">
        <f>SUM(N40:N47)</f>
        <v>1284816</v>
      </c>
      <c r="O48" s="869"/>
      <c r="P48" s="870">
        <f>SUM(P40:P47)</f>
        <v>120000</v>
      </c>
      <c r="Q48" s="870">
        <f t="shared" ref="Q48:R48" si="34">SUM(Q40:Q47)</f>
        <v>277952</v>
      </c>
      <c r="R48" s="870">
        <f t="shared" si="34"/>
        <v>26585768</v>
      </c>
      <c r="S48" s="869"/>
      <c r="T48" s="870">
        <f>SUM(T40:T47)</f>
        <v>15652000</v>
      </c>
      <c r="U48" s="869"/>
      <c r="V48" s="870">
        <f>SUM(V40:V47)</f>
        <v>7280000</v>
      </c>
      <c r="W48" s="869"/>
      <c r="X48" s="870">
        <f>SUM(X40:X47)</f>
        <v>630000</v>
      </c>
      <c r="Y48" s="869"/>
      <c r="Z48" s="870">
        <f t="shared" ref="Z48:AA48" si="35">SUM(Z40:Z47)</f>
        <v>25200000</v>
      </c>
      <c r="AA48" s="870">
        <f t="shared" si="35"/>
        <v>2310000</v>
      </c>
      <c r="AB48" s="870"/>
      <c r="AC48" s="870">
        <f t="shared" ref="AC48:AD48" si="36">SUM(AC40:AC47)</f>
        <v>1023669</v>
      </c>
      <c r="AD48" s="870">
        <f t="shared" si="36"/>
        <v>52095669</v>
      </c>
      <c r="AE48" s="870">
        <f>SUM(AE40:AE47)</f>
        <v>78681437</v>
      </c>
    </row>
    <row r="49" spans="1:31" s="912" customFormat="1" ht="64.5">
      <c r="A49" s="1665" t="s">
        <v>419</v>
      </c>
      <c r="B49" s="1666"/>
      <c r="C49" s="1666"/>
      <c r="D49" s="1666"/>
      <c r="E49" s="1666"/>
      <c r="F49" s="1666"/>
      <c r="G49" s="1666"/>
      <c r="H49" s="1666"/>
      <c r="I49" s="1667"/>
      <c r="J49" s="1667"/>
      <c r="K49" s="1667"/>
      <c r="L49" s="1667"/>
      <c r="M49" s="1667"/>
      <c r="N49" s="1667"/>
      <c r="O49" s="1667"/>
      <c r="P49" s="1667"/>
      <c r="Q49" s="1667"/>
      <c r="R49" s="1667"/>
      <c r="S49" s="1667"/>
      <c r="T49" s="1667"/>
      <c r="U49" s="1667"/>
      <c r="V49" s="1667"/>
      <c r="W49" s="1667"/>
      <c r="X49" s="1667"/>
      <c r="Y49" s="1667"/>
      <c r="Z49" s="1667"/>
      <c r="AA49" s="1667"/>
      <c r="AB49" s="1667"/>
      <c r="AC49" s="1667"/>
      <c r="AD49" s="1667"/>
      <c r="AE49" s="1668"/>
    </row>
    <row r="50" spans="1:31" s="756" customFormat="1" ht="141">
      <c r="A50" s="773">
        <v>35</v>
      </c>
      <c r="B50" s="800">
        <v>1</v>
      </c>
      <c r="C50" s="801" t="s">
        <v>1109</v>
      </c>
      <c r="D50" s="798" t="s">
        <v>408</v>
      </c>
      <c r="E50" s="798" t="s">
        <v>959</v>
      </c>
      <c r="F50" s="772">
        <v>8</v>
      </c>
      <c r="G50" s="772">
        <v>12</v>
      </c>
      <c r="H50" s="773">
        <v>2</v>
      </c>
      <c r="I50" s="773"/>
      <c r="J50" s="773"/>
      <c r="K50" s="773"/>
      <c r="L50" s="773"/>
      <c r="M50" s="773"/>
      <c r="N50" s="773"/>
      <c r="O50" s="774"/>
      <c r="P50" s="774"/>
      <c r="Q50" s="774"/>
      <c r="R50" s="773"/>
      <c r="S50" s="773">
        <v>48000</v>
      </c>
      <c r="T50" s="767">
        <f t="shared" ref="T50:T53" si="37">S50*F50*(G50+H50)</f>
        <v>5376000</v>
      </c>
      <c r="U50" s="772">
        <v>25000</v>
      </c>
      <c r="V50" s="767">
        <f t="shared" ref="V50:V53" si="38">U50*F50*(G50+H50)</f>
        <v>2800000</v>
      </c>
      <c r="W50" s="774">
        <v>20000</v>
      </c>
      <c r="X50" s="767">
        <f>W50*(G50+H50)</f>
        <v>280000</v>
      </c>
      <c r="Y50" s="774">
        <v>600000</v>
      </c>
      <c r="Z50" s="767">
        <f>Y50*(G50+H50)</f>
        <v>8400000</v>
      </c>
      <c r="AA50" s="774"/>
      <c r="AB50" s="774"/>
      <c r="AC50" s="774">
        <v>349000</v>
      </c>
      <c r="AD50" s="762">
        <f t="shared" ref="AD50:AD53" si="39">T50+V50+X50+Z50+AA50+AB50+AC50</f>
        <v>17205000</v>
      </c>
      <c r="AE50" s="773">
        <f t="shared" ref="AE50:AE56" si="40">AD50+R50</f>
        <v>17205000</v>
      </c>
    </row>
    <row r="51" spans="1:31" s="756" customFormat="1" ht="141">
      <c r="A51" s="773">
        <v>36</v>
      </c>
      <c r="B51" s="800">
        <v>2</v>
      </c>
      <c r="C51" s="801" t="s">
        <v>1110</v>
      </c>
      <c r="D51" s="798" t="s">
        <v>408</v>
      </c>
      <c r="E51" s="798" t="s">
        <v>961</v>
      </c>
      <c r="F51" s="772">
        <v>8</v>
      </c>
      <c r="G51" s="772">
        <v>12</v>
      </c>
      <c r="H51" s="773">
        <v>2</v>
      </c>
      <c r="I51" s="773"/>
      <c r="J51" s="773"/>
      <c r="K51" s="773"/>
      <c r="L51" s="773"/>
      <c r="M51" s="773"/>
      <c r="N51" s="773"/>
      <c r="O51" s="774"/>
      <c r="P51" s="774"/>
      <c r="Q51" s="774"/>
      <c r="R51" s="773"/>
      <c r="S51" s="773">
        <v>48000</v>
      </c>
      <c r="T51" s="767">
        <f t="shared" si="37"/>
        <v>5376000</v>
      </c>
      <c r="U51" s="772">
        <v>25000</v>
      </c>
      <c r="V51" s="767">
        <f t="shared" si="38"/>
        <v>2800000</v>
      </c>
      <c r="W51" s="774"/>
      <c r="X51" s="774"/>
      <c r="Y51" s="774"/>
      <c r="Z51" s="774"/>
      <c r="AA51" s="774"/>
      <c r="AB51" s="774"/>
      <c r="AC51" s="774">
        <v>349000</v>
      </c>
      <c r="AD51" s="762">
        <f t="shared" si="39"/>
        <v>8525000</v>
      </c>
      <c r="AE51" s="773">
        <f t="shared" si="40"/>
        <v>8525000</v>
      </c>
    </row>
    <row r="52" spans="1:31" s="756" customFormat="1" ht="258">
      <c r="A52" s="773">
        <v>37</v>
      </c>
      <c r="B52" s="800">
        <v>3</v>
      </c>
      <c r="C52" s="908" t="s">
        <v>1106</v>
      </c>
      <c r="D52" s="798" t="s">
        <v>347</v>
      </c>
      <c r="E52" s="798" t="s">
        <v>963</v>
      </c>
      <c r="F52" s="772">
        <v>12</v>
      </c>
      <c r="G52" s="772">
        <v>12</v>
      </c>
      <c r="H52" s="773">
        <v>2</v>
      </c>
      <c r="I52" s="773"/>
      <c r="J52" s="773"/>
      <c r="K52" s="773"/>
      <c r="L52" s="773"/>
      <c r="M52" s="773"/>
      <c r="N52" s="773"/>
      <c r="O52" s="774"/>
      <c r="P52" s="774"/>
      <c r="Q52" s="774"/>
      <c r="R52" s="773"/>
      <c r="S52" s="773">
        <v>48000</v>
      </c>
      <c r="T52" s="767">
        <f t="shared" si="37"/>
        <v>8064000</v>
      </c>
      <c r="U52" s="772">
        <v>25000</v>
      </c>
      <c r="V52" s="767">
        <f t="shared" si="38"/>
        <v>4200000</v>
      </c>
      <c r="W52" s="774">
        <v>15000</v>
      </c>
      <c r="X52" s="767">
        <f>W52*(G52+H52)</f>
        <v>210000</v>
      </c>
      <c r="Y52" s="774">
        <v>600000</v>
      </c>
      <c r="Z52" s="767">
        <f t="shared" ref="Z52:Z53" si="41">Y52*(G52+H52)</f>
        <v>8400000</v>
      </c>
      <c r="AA52" s="761">
        <f t="shared" ref="AA52:AA53" si="42">55000*(G52+H52)</f>
        <v>770000</v>
      </c>
      <c r="AB52" s="774"/>
      <c r="AC52" s="774"/>
      <c r="AD52" s="762">
        <f t="shared" si="39"/>
        <v>21644000</v>
      </c>
      <c r="AE52" s="773">
        <f t="shared" si="40"/>
        <v>21644000</v>
      </c>
    </row>
    <row r="53" spans="1:31" s="756" customFormat="1" ht="141">
      <c r="A53" s="773">
        <v>38</v>
      </c>
      <c r="B53" s="800">
        <v>4</v>
      </c>
      <c r="C53" s="801" t="s">
        <v>1111</v>
      </c>
      <c r="D53" s="798" t="s">
        <v>386</v>
      </c>
      <c r="E53" s="798" t="s">
        <v>965</v>
      </c>
      <c r="F53" s="772">
        <v>10</v>
      </c>
      <c r="G53" s="772">
        <v>12</v>
      </c>
      <c r="H53" s="773">
        <v>2</v>
      </c>
      <c r="I53" s="773"/>
      <c r="J53" s="773"/>
      <c r="K53" s="773"/>
      <c r="L53" s="773"/>
      <c r="M53" s="773"/>
      <c r="N53" s="773"/>
      <c r="O53" s="774"/>
      <c r="P53" s="774"/>
      <c r="Q53" s="774"/>
      <c r="R53" s="773"/>
      <c r="S53" s="773">
        <v>46000</v>
      </c>
      <c r="T53" s="767">
        <f t="shared" si="37"/>
        <v>6440000</v>
      </c>
      <c r="U53" s="772">
        <v>25000</v>
      </c>
      <c r="V53" s="767">
        <f t="shared" si="38"/>
        <v>3500000</v>
      </c>
      <c r="W53" s="774">
        <v>20000</v>
      </c>
      <c r="X53" s="767">
        <f>W53*(G53+H53)</f>
        <v>280000</v>
      </c>
      <c r="Y53" s="774">
        <v>400000</v>
      </c>
      <c r="Z53" s="767">
        <f t="shared" si="41"/>
        <v>5600000</v>
      </c>
      <c r="AA53" s="761">
        <f t="shared" si="42"/>
        <v>770000</v>
      </c>
      <c r="AB53" s="774"/>
      <c r="AC53" s="774">
        <v>227506</v>
      </c>
      <c r="AD53" s="762">
        <f t="shared" si="39"/>
        <v>16817506</v>
      </c>
      <c r="AE53" s="773">
        <f t="shared" si="40"/>
        <v>16817506</v>
      </c>
    </row>
    <row r="54" spans="1:31" s="756" customFormat="1" ht="409.6" customHeight="1">
      <c r="A54" s="773">
        <v>39</v>
      </c>
      <c r="B54" s="802">
        <v>5</v>
      </c>
      <c r="C54" s="908" t="s">
        <v>1112</v>
      </c>
      <c r="D54" s="798" t="s">
        <v>310</v>
      </c>
      <c r="E54" s="798" t="s">
        <v>1084</v>
      </c>
      <c r="F54" s="772">
        <v>18</v>
      </c>
      <c r="G54" s="772">
        <v>15</v>
      </c>
      <c r="H54" s="773">
        <v>2</v>
      </c>
      <c r="I54" s="773">
        <v>7050</v>
      </c>
      <c r="J54" s="768">
        <f t="shared" ref="J54:J55" si="43">(G54+H54)*I54*F54</f>
        <v>2157300</v>
      </c>
      <c r="K54" s="773">
        <v>7985</v>
      </c>
      <c r="L54" s="767">
        <f t="shared" ref="L54:L55" si="44">K54*F54*G54</f>
        <v>2155950</v>
      </c>
      <c r="M54" s="769">
        <f>3692*2</f>
        <v>7384</v>
      </c>
      <c r="N54" s="769">
        <f t="shared" ref="N54:N55" si="45">M54*H54*F54</f>
        <v>265824</v>
      </c>
      <c r="O54" s="774">
        <v>10000</v>
      </c>
      <c r="P54" s="129">
        <f t="shared" ref="P54:P55" si="46">O54*H54*2</f>
        <v>40000</v>
      </c>
      <c r="Q54" s="774"/>
      <c r="R54" s="769">
        <f t="shared" ref="R54:R55" si="47">SUM(J54+L54+N54+P54)+Q54</f>
        <v>4619074</v>
      </c>
      <c r="S54" s="773"/>
      <c r="T54" s="773"/>
      <c r="U54" s="772"/>
      <c r="V54" s="773"/>
      <c r="W54" s="774"/>
      <c r="X54" s="774"/>
      <c r="Y54" s="774"/>
      <c r="Z54" s="774"/>
      <c r="AA54" s="774"/>
      <c r="AB54" s="774"/>
      <c r="AC54" s="774"/>
      <c r="AD54" s="773"/>
      <c r="AE54" s="773">
        <f t="shared" si="40"/>
        <v>4619074</v>
      </c>
    </row>
    <row r="55" spans="1:31" s="756" customFormat="1" ht="409.6" customHeight="1">
      <c r="A55" s="773">
        <v>40</v>
      </c>
      <c r="B55" s="800">
        <v>6</v>
      </c>
      <c r="C55" s="908" t="s">
        <v>1113</v>
      </c>
      <c r="D55" s="798" t="s">
        <v>310</v>
      </c>
      <c r="E55" s="798" t="s">
        <v>387</v>
      </c>
      <c r="F55" s="772">
        <v>18</v>
      </c>
      <c r="G55" s="772">
        <v>15</v>
      </c>
      <c r="H55" s="773">
        <v>2</v>
      </c>
      <c r="I55" s="773">
        <v>7050</v>
      </c>
      <c r="J55" s="768">
        <f t="shared" si="43"/>
        <v>2157300</v>
      </c>
      <c r="K55" s="773">
        <v>7985</v>
      </c>
      <c r="L55" s="767">
        <f t="shared" si="44"/>
        <v>2155950</v>
      </c>
      <c r="M55" s="769">
        <f>3692*2</f>
        <v>7384</v>
      </c>
      <c r="N55" s="769">
        <f t="shared" si="45"/>
        <v>265824</v>
      </c>
      <c r="O55" s="774">
        <v>10000</v>
      </c>
      <c r="P55" s="129">
        <f t="shared" si="46"/>
        <v>40000</v>
      </c>
      <c r="Q55" s="774"/>
      <c r="R55" s="769">
        <f t="shared" si="47"/>
        <v>4619074</v>
      </c>
      <c r="S55" s="773"/>
      <c r="T55" s="773"/>
      <c r="U55" s="772"/>
      <c r="V55" s="773"/>
      <c r="W55" s="774"/>
      <c r="X55" s="774"/>
      <c r="Y55" s="774"/>
      <c r="Z55" s="774"/>
      <c r="AA55" s="774"/>
      <c r="AB55" s="774"/>
      <c r="AC55" s="774"/>
      <c r="AD55" s="773"/>
      <c r="AE55" s="773">
        <f t="shared" si="40"/>
        <v>4619074</v>
      </c>
    </row>
    <row r="56" spans="1:31" s="756" customFormat="1" ht="127.5">
      <c r="A56" s="773">
        <v>41</v>
      </c>
      <c r="B56" s="802">
        <v>7</v>
      </c>
      <c r="C56" s="907" t="s">
        <v>390</v>
      </c>
      <c r="D56" s="761" t="s">
        <v>414</v>
      </c>
      <c r="E56" s="761" t="s">
        <v>970</v>
      </c>
      <c r="F56" s="779">
        <v>8</v>
      </c>
      <c r="G56" s="779">
        <v>12</v>
      </c>
      <c r="H56" s="762">
        <v>2</v>
      </c>
      <c r="I56" s="762"/>
      <c r="J56" s="762"/>
      <c r="K56" s="762"/>
      <c r="L56" s="762"/>
      <c r="M56" s="762"/>
      <c r="N56" s="762"/>
      <c r="O56" s="778"/>
      <c r="P56" s="778"/>
      <c r="Q56" s="778"/>
      <c r="R56" s="762"/>
      <c r="S56" s="762">
        <v>46830</v>
      </c>
      <c r="T56" s="767">
        <f t="shared" ref="T56" si="48">S56*F56*(G56+H56)</f>
        <v>5244960</v>
      </c>
      <c r="U56" s="779">
        <v>37464</v>
      </c>
      <c r="V56" s="767">
        <f>U56*F56*(G56+H56)</f>
        <v>4195968</v>
      </c>
      <c r="W56" s="778">
        <v>20000</v>
      </c>
      <c r="X56" s="767">
        <f>W56*(G56+H56)</f>
        <v>280000</v>
      </c>
      <c r="Y56" s="778">
        <v>811000</v>
      </c>
      <c r="Z56" s="767">
        <f>Y56*(G56+H56)</f>
        <v>11354000</v>
      </c>
      <c r="AA56" s="761">
        <f t="shared" ref="AA56" si="49">55000*(G56+H56)</f>
        <v>770000</v>
      </c>
      <c r="AB56" s="778"/>
      <c r="AC56" s="778">
        <v>392000</v>
      </c>
      <c r="AD56" s="762">
        <f>T56+V56+X56+Z56+AA56+AB56+AC56</f>
        <v>22236928</v>
      </c>
      <c r="AE56" s="773">
        <f t="shared" si="40"/>
        <v>22236928</v>
      </c>
    </row>
    <row r="57" spans="1:31" s="756" customFormat="1" ht="75.75" customHeight="1">
      <c r="A57" s="1661" t="s">
        <v>38</v>
      </c>
      <c r="B57" s="1661"/>
      <c r="C57" s="1661"/>
      <c r="D57" s="1661"/>
      <c r="E57" s="1661"/>
      <c r="F57" s="1661"/>
      <c r="G57" s="1661"/>
      <c r="H57" s="1661"/>
      <c r="I57" s="870"/>
      <c r="J57" s="870">
        <f>SUM(J50:J56)</f>
        <v>4314600</v>
      </c>
      <c r="K57" s="870"/>
      <c r="L57" s="870">
        <f>SUM(L50:L56)</f>
        <v>4311900</v>
      </c>
      <c r="M57" s="870"/>
      <c r="N57" s="870">
        <f>SUM(N50:N56)</f>
        <v>531648</v>
      </c>
      <c r="O57" s="869"/>
      <c r="P57" s="870">
        <f>SUM(P50:P56)</f>
        <v>80000</v>
      </c>
      <c r="Q57" s="869"/>
      <c r="R57" s="870">
        <f>SUM(R50:R56)</f>
        <v>9238148</v>
      </c>
      <c r="S57" s="869"/>
      <c r="T57" s="870">
        <f>SUM(T50:T56)</f>
        <v>30500960</v>
      </c>
      <c r="U57" s="869"/>
      <c r="V57" s="870">
        <f>SUM(V50:V56)</f>
        <v>17495968</v>
      </c>
      <c r="W57" s="869"/>
      <c r="X57" s="870">
        <f>SUM(X50:X56)</f>
        <v>1050000</v>
      </c>
      <c r="Y57" s="869"/>
      <c r="Z57" s="870">
        <f>SUM(Z50:Z56)</f>
        <v>33754000</v>
      </c>
      <c r="AA57" s="870">
        <f>SUM(AA50:AA56)</f>
        <v>2310000</v>
      </c>
      <c r="AB57" s="870"/>
      <c r="AC57" s="870">
        <f t="shared" ref="AC57:AE57" si="50">SUM(AC50:AC56)</f>
        <v>1317506</v>
      </c>
      <c r="AD57" s="870">
        <f t="shared" si="50"/>
        <v>86428434</v>
      </c>
      <c r="AE57" s="870">
        <f t="shared" si="50"/>
        <v>95666582</v>
      </c>
    </row>
    <row r="58" spans="1:31" s="912" customFormat="1" ht="64.5">
      <c r="A58" s="1670" t="s">
        <v>424</v>
      </c>
      <c r="B58" s="1670"/>
      <c r="C58" s="1670"/>
      <c r="D58" s="1670"/>
      <c r="E58" s="1670"/>
      <c r="F58" s="1670"/>
      <c r="G58" s="1670"/>
      <c r="H58" s="1670"/>
      <c r="I58" s="1671"/>
      <c r="J58" s="1671"/>
      <c r="K58" s="1671"/>
      <c r="L58" s="1671"/>
      <c r="M58" s="1671"/>
      <c r="N58" s="1671"/>
      <c r="O58" s="1671"/>
      <c r="P58" s="1671"/>
      <c r="Q58" s="1671"/>
      <c r="R58" s="1671"/>
      <c r="S58" s="1671"/>
      <c r="T58" s="1671"/>
      <c r="U58" s="1671"/>
      <c r="V58" s="1671"/>
      <c r="W58" s="1671"/>
      <c r="X58" s="1671"/>
      <c r="Y58" s="1671"/>
      <c r="Z58" s="1671"/>
      <c r="AA58" s="1671"/>
      <c r="AB58" s="1671"/>
      <c r="AC58" s="1671"/>
      <c r="AD58" s="1671"/>
      <c r="AE58" s="1671"/>
    </row>
    <row r="59" spans="1:31" s="756" customFormat="1" ht="141">
      <c r="A59" s="129">
        <v>42</v>
      </c>
      <c r="B59" s="126">
        <v>1</v>
      </c>
      <c r="C59" s="803" t="s">
        <v>1114</v>
      </c>
      <c r="D59" s="773" t="s">
        <v>1134</v>
      </c>
      <c r="E59" s="773" t="s">
        <v>974</v>
      </c>
      <c r="F59" s="772">
        <v>8</v>
      </c>
      <c r="G59" s="772">
        <v>12</v>
      </c>
      <c r="H59" s="773">
        <v>2</v>
      </c>
      <c r="I59" s="773"/>
      <c r="J59" s="773"/>
      <c r="K59" s="773"/>
      <c r="L59" s="773"/>
      <c r="M59" s="773"/>
      <c r="N59" s="773"/>
      <c r="O59" s="774"/>
      <c r="P59" s="774"/>
      <c r="Q59" s="774"/>
      <c r="R59" s="773"/>
      <c r="S59" s="773">
        <v>30000</v>
      </c>
      <c r="T59" s="767">
        <f t="shared" ref="T59:T61" si="51">S59*F59*(G59+H59)</f>
        <v>3360000</v>
      </c>
      <c r="U59" s="772">
        <v>28000</v>
      </c>
      <c r="V59" s="767">
        <f t="shared" ref="V59:V61" si="52">U59*F59*(G59+H59)</f>
        <v>3136000</v>
      </c>
      <c r="W59" s="774">
        <v>15000</v>
      </c>
      <c r="X59" s="767">
        <f t="shared" ref="X59:X61" si="53">W59*(G59+H59)</f>
        <v>210000</v>
      </c>
      <c r="Y59" s="774">
        <v>520000</v>
      </c>
      <c r="Z59" s="767">
        <f t="shared" ref="Z59:Z61" si="54">Y59*(G59+H59)</f>
        <v>7280000</v>
      </c>
      <c r="AA59" s="774"/>
      <c r="AB59" s="774"/>
      <c r="AC59" s="774">
        <v>273000</v>
      </c>
      <c r="AD59" s="762">
        <f>T59+V59+X59+Z59+AA59+AB59+AC59</f>
        <v>14259000</v>
      </c>
      <c r="AE59" s="762">
        <f>AD59+R59</f>
        <v>14259000</v>
      </c>
    </row>
    <row r="60" spans="1:31" s="756" customFormat="1" ht="141">
      <c r="A60" s="773">
        <v>43</v>
      </c>
      <c r="B60" s="802">
        <v>2</v>
      </c>
      <c r="C60" s="907" t="s">
        <v>334</v>
      </c>
      <c r="D60" s="761" t="s">
        <v>374</v>
      </c>
      <c r="E60" s="761" t="s">
        <v>976</v>
      </c>
      <c r="F60" s="779">
        <v>8</v>
      </c>
      <c r="G60" s="779">
        <v>12</v>
      </c>
      <c r="H60" s="762">
        <v>2</v>
      </c>
      <c r="I60" s="762"/>
      <c r="J60" s="762"/>
      <c r="K60" s="762"/>
      <c r="L60" s="762"/>
      <c r="M60" s="762"/>
      <c r="N60" s="762"/>
      <c r="O60" s="778"/>
      <c r="P60" s="778"/>
      <c r="Q60" s="778"/>
      <c r="R60" s="762"/>
      <c r="S60" s="762">
        <v>48000</v>
      </c>
      <c r="T60" s="767">
        <f t="shared" si="51"/>
        <v>5376000</v>
      </c>
      <c r="U60" s="779">
        <v>23415</v>
      </c>
      <c r="V60" s="767">
        <f t="shared" si="52"/>
        <v>2622480</v>
      </c>
      <c r="W60" s="778">
        <v>20000</v>
      </c>
      <c r="X60" s="767">
        <f t="shared" si="53"/>
        <v>280000</v>
      </c>
      <c r="Y60" s="778">
        <v>835000</v>
      </c>
      <c r="Z60" s="767">
        <f t="shared" si="54"/>
        <v>11690000</v>
      </c>
      <c r="AA60" s="761">
        <f t="shared" ref="AA60:AA61" si="55">55000*(G60+H60)</f>
        <v>770000</v>
      </c>
      <c r="AB60" s="778"/>
      <c r="AC60" s="778"/>
      <c r="AD60" s="762">
        <f>T60+V60+X60+Z60+AA60+AB60+AC60</f>
        <v>20738480</v>
      </c>
      <c r="AE60" s="762">
        <f t="shared" ref="AE60:AE61" si="56">AD60+R60</f>
        <v>20738480</v>
      </c>
    </row>
    <row r="61" spans="1:31" s="756" customFormat="1" ht="127.5">
      <c r="A61" s="773">
        <v>44</v>
      </c>
      <c r="B61" s="802">
        <v>3</v>
      </c>
      <c r="C61" s="907" t="s">
        <v>390</v>
      </c>
      <c r="D61" s="761" t="s">
        <v>414</v>
      </c>
      <c r="E61" s="761" t="s">
        <v>970</v>
      </c>
      <c r="F61" s="779">
        <v>10</v>
      </c>
      <c r="G61" s="779">
        <v>12</v>
      </c>
      <c r="H61" s="762">
        <v>2</v>
      </c>
      <c r="I61" s="762"/>
      <c r="J61" s="762"/>
      <c r="K61" s="762"/>
      <c r="L61" s="762"/>
      <c r="M61" s="762"/>
      <c r="N61" s="762"/>
      <c r="O61" s="778"/>
      <c r="P61" s="778"/>
      <c r="Q61" s="778"/>
      <c r="R61" s="762"/>
      <c r="S61" s="762">
        <v>46830</v>
      </c>
      <c r="T61" s="767">
        <f t="shared" si="51"/>
        <v>6556200</v>
      </c>
      <c r="U61" s="779">
        <v>37464</v>
      </c>
      <c r="V61" s="767">
        <f t="shared" si="52"/>
        <v>5244960</v>
      </c>
      <c r="W61" s="778">
        <v>20000</v>
      </c>
      <c r="X61" s="767">
        <f t="shared" si="53"/>
        <v>280000</v>
      </c>
      <c r="Y61" s="778">
        <v>811000</v>
      </c>
      <c r="Z61" s="767">
        <f t="shared" si="54"/>
        <v>11354000</v>
      </c>
      <c r="AA61" s="761">
        <f t="shared" si="55"/>
        <v>770000</v>
      </c>
      <c r="AB61" s="778"/>
      <c r="AC61" s="778"/>
      <c r="AD61" s="762">
        <f>T61+V61+X61+Z61+AA61+AB61+AC61</f>
        <v>24205160</v>
      </c>
      <c r="AE61" s="762">
        <f t="shared" si="56"/>
        <v>24205160</v>
      </c>
    </row>
    <row r="62" spans="1:31" s="756" customFormat="1" ht="84.75" customHeight="1">
      <c r="A62" s="1661" t="s">
        <v>38</v>
      </c>
      <c r="B62" s="1661"/>
      <c r="C62" s="1661"/>
      <c r="D62" s="1661"/>
      <c r="E62" s="1661"/>
      <c r="F62" s="1661"/>
      <c r="G62" s="1661"/>
      <c r="H62" s="1661"/>
      <c r="I62" s="780"/>
      <c r="J62" s="780"/>
      <c r="K62" s="780"/>
      <c r="L62" s="780"/>
      <c r="M62" s="780"/>
      <c r="N62" s="780"/>
      <c r="O62" s="780"/>
      <c r="P62" s="780"/>
      <c r="Q62" s="780"/>
      <c r="R62" s="780"/>
      <c r="S62" s="780"/>
      <c r="T62" s="780">
        <f>SUM(T59:T61)</f>
        <v>15292200</v>
      </c>
      <c r="U62" s="780"/>
      <c r="V62" s="780">
        <f>SUM(V59:V61)</f>
        <v>11003440</v>
      </c>
      <c r="W62" s="780"/>
      <c r="X62" s="780">
        <f>SUM(X59:X61)</f>
        <v>770000</v>
      </c>
      <c r="Y62" s="780"/>
      <c r="Z62" s="780">
        <f>SUM(Z59:Z61)</f>
        <v>30324000</v>
      </c>
      <c r="AA62" s="780">
        <f>SUM(AA59:AA61)</f>
        <v>1540000</v>
      </c>
      <c r="AB62" s="780"/>
      <c r="AC62" s="780">
        <f t="shared" ref="AC62" si="57">SUM(AC59:AC61)</f>
        <v>273000</v>
      </c>
      <c r="AD62" s="780">
        <f>SUM(AD59:AD61)</f>
        <v>59202640</v>
      </c>
      <c r="AE62" s="780">
        <f>SUM(AE59:AE61)</f>
        <v>59202640</v>
      </c>
    </row>
    <row r="63" spans="1:31" s="912" customFormat="1" ht="64.5">
      <c r="A63" s="1662" t="s">
        <v>407</v>
      </c>
      <c r="B63" s="1662"/>
      <c r="C63" s="1662"/>
      <c r="D63" s="1662"/>
      <c r="E63" s="1663"/>
      <c r="F63" s="1663"/>
      <c r="G63" s="1663"/>
      <c r="H63" s="1663"/>
      <c r="I63" s="1663"/>
      <c r="J63" s="1663"/>
      <c r="K63" s="1663"/>
      <c r="L63" s="1663"/>
      <c r="M63" s="1663"/>
      <c r="N63" s="1663"/>
      <c r="O63" s="1663"/>
      <c r="P63" s="1663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663"/>
      <c r="AB63" s="1663"/>
      <c r="AC63" s="1663"/>
      <c r="AD63" s="1663"/>
      <c r="AE63" s="1663"/>
    </row>
    <row r="64" spans="1:31" s="756" customFormat="1" ht="76.5">
      <c r="A64" s="129">
        <v>45</v>
      </c>
      <c r="B64" s="129">
        <v>1</v>
      </c>
      <c r="C64" s="805" t="s">
        <v>341</v>
      </c>
      <c r="D64" s="806" t="s">
        <v>408</v>
      </c>
      <c r="E64" s="125" t="s">
        <v>981</v>
      </c>
      <c r="F64" s="808">
        <v>8</v>
      </c>
      <c r="G64" s="126">
        <v>12</v>
      </c>
      <c r="H64" s="808">
        <v>2</v>
      </c>
      <c r="I64" s="125"/>
      <c r="J64" s="126"/>
      <c r="K64" s="125"/>
      <c r="L64" s="125"/>
      <c r="M64" s="129"/>
      <c r="N64" s="129"/>
      <c r="O64" s="129"/>
      <c r="P64" s="129"/>
      <c r="Q64" s="129"/>
      <c r="R64" s="129"/>
      <c r="S64" s="798">
        <v>45000</v>
      </c>
      <c r="T64" s="767">
        <f t="shared" ref="T64:T65" si="58">S64*F64*(G64+H64)</f>
        <v>5040000</v>
      </c>
      <c r="U64" s="798">
        <v>30000</v>
      </c>
      <c r="V64" s="767">
        <f t="shared" ref="V64:V65" si="59">U64*F64*(G64+H64)</f>
        <v>3360000</v>
      </c>
      <c r="W64" s="798">
        <v>3500</v>
      </c>
      <c r="X64" s="767">
        <f t="shared" ref="X64:X65" si="60">W64*(G64+H64)</f>
        <v>49000</v>
      </c>
      <c r="Y64" s="798">
        <v>250000</v>
      </c>
      <c r="Z64" s="767">
        <f t="shared" ref="Z64:Z65" si="61">Y64*(G64+H64)</f>
        <v>3500000</v>
      </c>
      <c r="AA64" s="798"/>
      <c r="AB64" s="798"/>
      <c r="AC64" s="798">
        <v>420000</v>
      </c>
      <c r="AD64" s="762">
        <f t="shared" ref="AD64:AD65" si="62">T64+V64+X64+Z64+AA64+AB64+AC64</f>
        <v>12369000</v>
      </c>
      <c r="AE64" s="821">
        <f t="shared" ref="AE64:AE69" si="63">R64+AD64</f>
        <v>12369000</v>
      </c>
    </row>
    <row r="65" spans="1:31" s="756" customFormat="1" ht="247.5" customHeight="1">
      <c r="A65" s="796">
        <v>46</v>
      </c>
      <c r="B65" s="126">
        <v>2</v>
      </c>
      <c r="C65" s="908" t="s">
        <v>301</v>
      </c>
      <c r="D65" s="806" t="s">
        <v>1136</v>
      </c>
      <c r="E65" s="125" t="s">
        <v>983</v>
      </c>
      <c r="F65" s="125">
        <v>12</v>
      </c>
      <c r="G65" s="126">
        <v>12</v>
      </c>
      <c r="H65" s="126">
        <v>2</v>
      </c>
      <c r="I65" s="125"/>
      <c r="J65" s="126"/>
      <c r="K65" s="125"/>
      <c r="L65" s="125"/>
      <c r="M65" s="129"/>
      <c r="N65" s="129"/>
      <c r="O65" s="129"/>
      <c r="P65" s="129"/>
      <c r="Q65" s="129"/>
      <c r="R65" s="129"/>
      <c r="S65" s="798">
        <v>45000</v>
      </c>
      <c r="T65" s="767">
        <f t="shared" si="58"/>
        <v>7560000</v>
      </c>
      <c r="U65" s="798">
        <v>30000</v>
      </c>
      <c r="V65" s="767">
        <f t="shared" si="59"/>
        <v>5040000</v>
      </c>
      <c r="W65" s="798">
        <v>2000</v>
      </c>
      <c r="X65" s="767">
        <f t="shared" si="60"/>
        <v>28000</v>
      </c>
      <c r="Y65" s="798">
        <v>250000</v>
      </c>
      <c r="Z65" s="767">
        <f t="shared" si="61"/>
        <v>3500000</v>
      </c>
      <c r="AA65" s="798"/>
      <c r="AB65" s="798"/>
      <c r="AC65" s="798"/>
      <c r="AD65" s="762">
        <f t="shared" si="62"/>
        <v>16128000</v>
      </c>
      <c r="AE65" s="821">
        <f t="shared" si="63"/>
        <v>16128000</v>
      </c>
    </row>
    <row r="66" spans="1:31" s="756" customFormat="1" ht="141">
      <c r="A66" s="796">
        <v>47</v>
      </c>
      <c r="B66" s="126">
        <v>3</v>
      </c>
      <c r="C66" s="908" t="s">
        <v>330</v>
      </c>
      <c r="D66" s="806" t="s">
        <v>1137</v>
      </c>
      <c r="E66" s="125" t="s">
        <v>1091</v>
      </c>
      <c r="F66" s="125">
        <v>18</v>
      </c>
      <c r="G66" s="126">
        <v>15</v>
      </c>
      <c r="H66" s="126">
        <v>2</v>
      </c>
      <c r="I66" s="125">
        <v>9000</v>
      </c>
      <c r="J66" s="768">
        <f>(G66+H66)*I66*F66</f>
        <v>2754000</v>
      </c>
      <c r="K66" s="125">
        <f>2.5*3450</f>
        <v>8625</v>
      </c>
      <c r="L66" s="767">
        <f>K66*F66*G66</f>
        <v>2328750</v>
      </c>
      <c r="M66" s="769">
        <f>3692*2</f>
        <v>7384</v>
      </c>
      <c r="N66" s="769">
        <f t="shared" ref="N66" si="64">M66*H66*F66</f>
        <v>265824</v>
      </c>
      <c r="O66" s="129">
        <v>15000</v>
      </c>
      <c r="P66" s="129">
        <f t="shared" ref="P66" si="65">O66*H66*2</f>
        <v>60000</v>
      </c>
      <c r="Q66" s="129"/>
      <c r="R66" s="769">
        <f>SUM(J66+L66+N66+P66)+Q66</f>
        <v>5408574</v>
      </c>
      <c r="S66" s="798"/>
      <c r="T66" s="125"/>
      <c r="U66" s="798"/>
      <c r="V66" s="125"/>
      <c r="W66" s="798"/>
      <c r="X66" s="125"/>
      <c r="Y66" s="798"/>
      <c r="Z66" s="125"/>
      <c r="AA66" s="798"/>
      <c r="AB66" s="798"/>
      <c r="AC66" s="798"/>
      <c r="AD66" s="773"/>
      <c r="AE66" s="821">
        <f t="shared" si="63"/>
        <v>5408574</v>
      </c>
    </row>
    <row r="67" spans="1:31" s="756" customFormat="1" ht="211.5">
      <c r="A67" s="129">
        <v>48</v>
      </c>
      <c r="B67" s="129">
        <v>4</v>
      </c>
      <c r="C67" s="805" t="s">
        <v>341</v>
      </c>
      <c r="D67" s="806" t="s">
        <v>1138</v>
      </c>
      <c r="E67" s="125" t="s">
        <v>989</v>
      </c>
      <c r="F67" s="125">
        <v>8</v>
      </c>
      <c r="G67" s="126">
        <v>12</v>
      </c>
      <c r="H67" s="126">
        <v>2</v>
      </c>
      <c r="I67" s="125"/>
      <c r="J67" s="126"/>
      <c r="K67" s="125"/>
      <c r="L67" s="125"/>
      <c r="M67" s="129"/>
      <c r="N67" s="129"/>
      <c r="O67" s="129"/>
      <c r="P67" s="129"/>
      <c r="Q67" s="129"/>
      <c r="R67" s="129"/>
      <c r="S67" s="798">
        <v>45000</v>
      </c>
      <c r="T67" s="767">
        <f t="shared" ref="T67" si="66">S67*F67*(G67+H67)</f>
        <v>5040000</v>
      </c>
      <c r="U67" s="798">
        <v>30000</v>
      </c>
      <c r="V67" s="767">
        <f>U67*F67*(G67+H67)</f>
        <v>3360000</v>
      </c>
      <c r="W67" s="798">
        <v>2000</v>
      </c>
      <c r="X67" s="767">
        <f>W67*(G67+H67)</f>
        <v>28000</v>
      </c>
      <c r="Y67" s="798">
        <v>350000</v>
      </c>
      <c r="Z67" s="767">
        <f>Y67*(G67+H67)</f>
        <v>4900000</v>
      </c>
      <c r="AA67" s="761">
        <f t="shared" ref="AA67" si="67">55000*(G67+H67)</f>
        <v>770000</v>
      </c>
      <c r="AB67" s="798"/>
      <c r="AC67" s="798">
        <v>420000</v>
      </c>
      <c r="AD67" s="762">
        <f>T67+V67+X67+Z67+AA67+AB67+AC67</f>
        <v>14518000</v>
      </c>
      <c r="AE67" s="821">
        <f t="shared" si="63"/>
        <v>14518000</v>
      </c>
    </row>
    <row r="68" spans="1:31" s="756" customFormat="1" ht="141">
      <c r="A68" s="796">
        <v>49</v>
      </c>
      <c r="B68" s="126">
        <v>5</v>
      </c>
      <c r="C68" s="908" t="s">
        <v>330</v>
      </c>
      <c r="D68" s="806" t="s">
        <v>1139</v>
      </c>
      <c r="E68" s="125" t="s">
        <v>1092</v>
      </c>
      <c r="F68" s="125">
        <v>18</v>
      </c>
      <c r="G68" s="126">
        <v>15</v>
      </c>
      <c r="H68" s="126">
        <v>2</v>
      </c>
      <c r="I68" s="125">
        <v>9000</v>
      </c>
      <c r="J68" s="768">
        <f>(G68+H68)*I68*F68</f>
        <v>2754000</v>
      </c>
      <c r="K68" s="125">
        <f>2.5*3450</f>
        <v>8625</v>
      </c>
      <c r="L68" s="767">
        <f>K68*F68*G68</f>
        <v>2328750</v>
      </c>
      <c r="M68" s="769">
        <f>3692*2</f>
        <v>7384</v>
      </c>
      <c r="N68" s="769">
        <f t="shared" ref="N68" si="68">M68*H68*F68</f>
        <v>265824</v>
      </c>
      <c r="O68" s="129">
        <v>15000</v>
      </c>
      <c r="P68" s="129">
        <f t="shared" ref="P68" si="69">O68*H68*2</f>
        <v>60000</v>
      </c>
      <c r="Q68" s="129"/>
      <c r="R68" s="769">
        <f>SUM(J68+L68+N68+P68)+Q68</f>
        <v>5408574</v>
      </c>
      <c r="S68" s="798"/>
      <c r="T68" s="125"/>
      <c r="U68" s="798"/>
      <c r="V68" s="125"/>
      <c r="W68" s="798"/>
      <c r="X68" s="125"/>
      <c r="Y68" s="798"/>
      <c r="Z68" s="125"/>
      <c r="AA68" s="798"/>
      <c r="AB68" s="798"/>
      <c r="AC68" s="822"/>
      <c r="AD68" s="773"/>
      <c r="AE68" s="821">
        <f t="shared" si="63"/>
        <v>5408574</v>
      </c>
    </row>
    <row r="69" spans="1:31" s="756" customFormat="1" ht="141">
      <c r="A69" s="796">
        <v>50</v>
      </c>
      <c r="B69" s="126">
        <v>6</v>
      </c>
      <c r="C69" s="908" t="s">
        <v>383</v>
      </c>
      <c r="D69" s="806" t="s">
        <v>1140</v>
      </c>
      <c r="E69" s="125" t="s">
        <v>993</v>
      </c>
      <c r="F69" s="125">
        <v>10</v>
      </c>
      <c r="G69" s="126">
        <v>12</v>
      </c>
      <c r="H69" s="126">
        <v>2</v>
      </c>
      <c r="I69" s="125"/>
      <c r="J69" s="126"/>
      <c r="K69" s="125"/>
      <c r="L69" s="125"/>
      <c r="M69" s="129"/>
      <c r="N69" s="129"/>
      <c r="O69" s="129"/>
      <c r="P69" s="129"/>
      <c r="Q69" s="129"/>
      <c r="R69" s="129"/>
      <c r="S69" s="798">
        <v>45000</v>
      </c>
      <c r="T69" s="767">
        <f t="shared" ref="T69" si="70">S69*F69*(G69+H69)</f>
        <v>6300000</v>
      </c>
      <c r="U69" s="798">
        <v>30000</v>
      </c>
      <c r="V69" s="767">
        <f>U69*F69*(G69+H69)</f>
        <v>4200000</v>
      </c>
      <c r="W69" s="798">
        <v>2500</v>
      </c>
      <c r="X69" s="767">
        <f>W69*(G69+H69)</f>
        <v>35000</v>
      </c>
      <c r="Y69" s="798">
        <v>350000</v>
      </c>
      <c r="Z69" s="767">
        <f>Y69*(G69+H69)</f>
        <v>4900000</v>
      </c>
      <c r="AA69" s="761">
        <f t="shared" ref="AA69" si="71">55000*(G69+H69)</f>
        <v>770000</v>
      </c>
      <c r="AB69" s="798"/>
      <c r="AC69" s="798">
        <v>420000</v>
      </c>
      <c r="AD69" s="762">
        <f>T69+V69+X69+Z69+AA69+AB69+AC69</f>
        <v>16625000</v>
      </c>
      <c r="AE69" s="821">
        <f t="shared" si="63"/>
        <v>16625000</v>
      </c>
    </row>
    <row r="70" spans="1:31" s="756" customFormat="1" ht="76.5">
      <c r="A70" s="1661" t="s">
        <v>38</v>
      </c>
      <c r="B70" s="1661"/>
      <c r="C70" s="1661"/>
      <c r="D70" s="1661"/>
      <c r="E70" s="1661"/>
      <c r="F70" s="1661"/>
      <c r="G70" s="1661"/>
      <c r="H70" s="1661"/>
      <c r="I70" s="870"/>
      <c r="J70" s="870">
        <f>SUM(J64:J69)</f>
        <v>5508000</v>
      </c>
      <c r="K70" s="870"/>
      <c r="L70" s="870">
        <f>SUM(L64:L69)</f>
        <v>4657500</v>
      </c>
      <c r="M70" s="870"/>
      <c r="N70" s="870">
        <f>SUM(N64:N69)</f>
        <v>531648</v>
      </c>
      <c r="O70" s="869"/>
      <c r="P70" s="870">
        <f>SUM(P64:P69)</f>
        <v>120000</v>
      </c>
      <c r="Q70" s="869"/>
      <c r="R70" s="870">
        <f>SUM(R64:R69)</f>
        <v>10817148</v>
      </c>
      <c r="S70" s="869"/>
      <c r="T70" s="870">
        <f>SUM(T64:T69)</f>
        <v>23940000</v>
      </c>
      <c r="U70" s="869"/>
      <c r="V70" s="870">
        <f>SUM(V64:V69)</f>
        <v>15960000</v>
      </c>
      <c r="W70" s="869"/>
      <c r="X70" s="870">
        <f>SUM(X64:X69)</f>
        <v>140000</v>
      </c>
      <c r="Y70" s="869"/>
      <c r="Z70" s="870">
        <f t="shared" ref="Z70:AD70" si="72">SUM(Z64:Z69)</f>
        <v>16800000</v>
      </c>
      <c r="AA70" s="870">
        <f t="shared" si="72"/>
        <v>1540000</v>
      </c>
      <c r="AB70" s="870">
        <f t="shared" si="72"/>
        <v>0</v>
      </c>
      <c r="AC70" s="870">
        <f t="shared" si="72"/>
        <v>1260000</v>
      </c>
      <c r="AD70" s="870">
        <f t="shared" si="72"/>
        <v>59640000</v>
      </c>
      <c r="AE70" s="870">
        <f>SUM(AE64:AE69)</f>
        <v>70457148</v>
      </c>
    </row>
    <row r="71" spans="1:31" s="912" customFormat="1" ht="64.5">
      <c r="A71" s="1662" t="s">
        <v>1157</v>
      </c>
      <c r="B71" s="1662"/>
      <c r="C71" s="1662"/>
      <c r="D71" s="1662"/>
      <c r="E71" s="1663"/>
      <c r="F71" s="1663"/>
      <c r="G71" s="1663"/>
      <c r="H71" s="1663"/>
      <c r="I71" s="1663"/>
      <c r="J71" s="1663"/>
      <c r="K71" s="1663"/>
      <c r="L71" s="1663"/>
      <c r="M71" s="1663"/>
      <c r="N71" s="1663"/>
      <c r="O71" s="1663"/>
      <c r="P71" s="1663"/>
      <c r="Q71" s="1663"/>
      <c r="R71" s="1663"/>
      <c r="S71" s="1663"/>
      <c r="T71" s="1663"/>
      <c r="U71" s="1663"/>
      <c r="V71" s="1663"/>
      <c r="W71" s="1663"/>
      <c r="X71" s="1663"/>
      <c r="Y71" s="1663"/>
      <c r="Z71" s="1663"/>
      <c r="AA71" s="1663"/>
      <c r="AB71" s="1663"/>
      <c r="AC71" s="1663"/>
      <c r="AD71" s="1663"/>
      <c r="AE71" s="1663"/>
    </row>
    <row r="72" spans="1:31" s="756" customFormat="1" ht="76.5">
      <c r="A72" s="129">
        <v>51</v>
      </c>
      <c r="B72" s="129">
        <v>1</v>
      </c>
      <c r="C72" s="805" t="s">
        <v>341</v>
      </c>
      <c r="D72" s="806" t="s">
        <v>408</v>
      </c>
      <c r="E72" s="125" t="s">
        <v>981</v>
      </c>
      <c r="F72" s="808">
        <v>10</v>
      </c>
      <c r="G72" s="126">
        <v>8</v>
      </c>
      <c r="H72" s="808">
        <v>2</v>
      </c>
      <c r="I72" s="125"/>
      <c r="J72" s="823"/>
      <c r="K72" s="125"/>
      <c r="L72" s="811"/>
      <c r="M72" s="129"/>
      <c r="N72" s="824"/>
      <c r="O72" s="129"/>
      <c r="P72" s="129"/>
      <c r="Q72" s="129"/>
      <c r="R72" s="824"/>
      <c r="S72" s="798">
        <v>45000</v>
      </c>
      <c r="T72" s="767">
        <f t="shared" ref="T72" si="73">S72*F72*(G72+H72)</f>
        <v>4500000</v>
      </c>
      <c r="U72" s="798">
        <v>30000</v>
      </c>
      <c r="V72" s="767">
        <f>U72*F72*(G72+H72)</f>
        <v>3000000</v>
      </c>
      <c r="W72" s="798">
        <v>3500</v>
      </c>
      <c r="X72" s="767">
        <f>W72*(G72+H72)</f>
        <v>35000</v>
      </c>
      <c r="Y72" s="798">
        <v>250000</v>
      </c>
      <c r="Z72" s="767">
        <f>Y72*(G72+H72)</f>
        <v>2500000</v>
      </c>
      <c r="AA72" s="798"/>
      <c r="AB72" s="798"/>
      <c r="AC72" s="798">
        <v>261445</v>
      </c>
      <c r="AD72" s="762">
        <f>T72+V72+X72+Z72+AA72+AB72+AC72</f>
        <v>10296445</v>
      </c>
      <c r="AE72" s="821">
        <f>R72+AD72</f>
        <v>10296445</v>
      </c>
    </row>
    <row r="73" spans="1:31" s="756" customFormat="1" ht="141">
      <c r="A73" s="129">
        <v>52</v>
      </c>
      <c r="B73" s="126">
        <v>2</v>
      </c>
      <c r="C73" s="908" t="s">
        <v>330</v>
      </c>
      <c r="D73" s="806" t="s">
        <v>1137</v>
      </c>
      <c r="E73" s="125" t="s">
        <v>1085</v>
      </c>
      <c r="F73" s="125">
        <v>18</v>
      </c>
      <c r="G73" s="126">
        <v>15</v>
      </c>
      <c r="H73" s="126">
        <v>2</v>
      </c>
      <c r="I73" s="125">
        <v>9000</v>
      </c>
      <c r="J73" s="768">
        <f>(G73+H73)*I73*F73</f>
        <v>2754000</v>
      </c>
      <c r="K73" s="125">
        <f>2.5*3450</f>
        <v>8625</v>
      </c>
      <c r="L73" s="767">
        <f>K73*F73*G73</f>
        <v>2328750</v>
      </c>
      <c r="M73" s="769">
        <f>3692*2</f>
        <v>7384</v>
      </c>
      <c r="N73" s="769">
        <f t="shared" ref="N73" si="74">M73*H73*F73</f>
        <v>265824</v>
      </c>
      <c r="O73" s="129">
        <v>15000</v>
      </c>
      <c r="P73" s="129">
        <f t="shared" ref="P73" si="75">O73*H73*2</f>
        <v>60000</v>
      </c>
      <c r="Q73" s="129"/>
      <c r="R73" s="769">
        <f>SUM(J73+L73+N73+P73)+Q73</f>
        <v>5408574</v>
      </c>
      <c r="S73" s="798"/>
      <c r="T73" s="125"/>
      <c r="U73" s="798"/>
      <c r="V73" s="125"/>
      <c r="W73" s="798"/>
      <c r="X73" s="125"/>
      <c r="Y73" s="798"/>
      <c r="Z73" s="125"/>
      <c r="AA73" s="798"/>
      <c r="AB73" s="798"/>
      <c r="AC73" s="798"/>
      <c r="AD73" s="773"/>
      <c r="AE73" s="821">
        <f t="shared" ref="AE73:AE76" si="76">R73+AD73</f>
        <v>5408574</v>
      </c>
    </row>
    <row r="74" spans="1:31" s="756" customFormat="1" ht="211.5">
      <c r="A74" s="129">
        <v>53</v>
      </c>
      <c r="B74" s="126">
        <v>3</v>
      </c>
      <c r="C74" s="805" t="s">
        <v>341</v>
      </c>
      <c r="D74" s="806" t="s">
        <v>1138</v>
      </c>
      <c r="E74" s="125" t="s">
        <v>389</v>
      </c>
      <c r="F74" s="125">
        <v>8</v>
      </c>
      <c r="G74" s="126">
        <v>12</v>
      </c>
      <c r="H74" s="126">
        <v>2</v>
      </c>
      <c r="I74" s="125"/>
      <c r="J74" s="823"/>
      <c r="K74" s="125"/>
      <c r="L74" s="811"/>
      <c r="M74" s="129"/>
      <c r="N74" s="824"/>
      <c r="O74" s="129"/>
      <c r="P74" s="129"/>
      <c r="Q74" s="129"/>
      <c r="R74" s="129"/>
      <c r="S74" s="798">
        <v>45000</v>
      </c>
      <c r="T74" s="767">
        <f t="shared" ref="T74" si="77">S74*F74*(G74+H74)</f>
        <v>5040000</v>
      </c>
      <c r="U74" s="798">
        <v>30000</v>
      </c>
      <c r="V74" s="767">
        <f>U74*F74*(G74+H74)</f>
        <v>3360000</v>
      </c>
      <c r="W74" s="798">
        <v>3500</v>
      </c>
      <c r="X74" s="767">
        <f>W74*(G74+H74)</f>
        <v>49000</v>
      </c>
      <c r="Y74" s="798">
        <v>350000</v>
      </c>
      <c r="Z74" s="767">
        <f>Y74*(G74+H74)</f>
        <v>4900000</v>
      </c>
      <c r="AA74" s="761">
        <f t="shared" ref="AA74" si="78">55000*(G74+H74)</f>
        <v>770000</v>
      </c>
      <c r="AB74" s="798"/>
      <c r="AC74" s="798">
        <v>180000</v>
      </c>
      <c r="AD74" s="762">
        <f>T74+V74+X74+Z74+AA74+AB74+AC74</f>
        <v>14299000</v>
      </c>
      <c r="AE74" s="821">
        <f t="shared" si="76"/>
        <v>14299000</v>
      </c>
    </row>
    <row r="75" spans="1:31" s="756" customFormat="1" ht="141">
      <c r="A75" s="129">
        <v>54</v>
      </c>
      <c r="B75" s="126">
        <v>4</v>
      </c>
      <c r="C75" s="908" t="s">
        <v>330</v>
      </c>
      <c r="D75" s="806" t="s">
        <v>1139</v>
      </c>
      <c r="E75" s="125" t="s">
        <v>387</v>
      </c>
      <c r="F75" s="125">
        <v>18</v>
      </c>
      <c r="G75" s="126">
        <v>15</v>
      </c>
      <c r="H75" s="126">
        <v>2</v>
      </c>
      <c r="I75" s="125">
        <v>9000</v>
      </c>
      <c r="J75" s="768">
        <f>(G75+H75)*I75*F75</f>
        <v>2754000</v>
      </c>
      <c r="K75" s="125">
        <f>2.5*3450</f>
        <v>8625</v>
      </c>
      <c r="L75" s="767">
        <f>K75*F75*G75</f>
        <v>2328750</v>
      </c>
      <c r="M75" s="769">
        <f>3692*2</f>
        <v>7384</v>
      </c>
      <c r="N75" s="769">
        <f t="shared" ref="N75" si="79">M75*H75*F75</f>
        <v>265824</v>
      </c>
      <c r="O75" s="129">
        <v>15000</v>
      </c>
      <c r="P75" s="129">
        <f t="shared" ref="P75" si="80">O75*H75*2</f>
        <v>60000</v>
      </c>
      <c r="Q75" s="129"/>
      <c r="R75" s="769">
        <f>SUM(J75+L75+N75+P75)+Q75</f>
        <v>5408574</v>
      </c>
      <c r="S75" s="798"/>
      <c r="T75" s="125"/>
      <c r="U75" s="798"/>
      <c r="V75" s="125"/>
      <c r="W75" s="798"/>
      <c r="X75" s="125"/>
      <c r="Y75" s="798"/>
      <c r="Z75" s="125"/>
      <c r="AA75" s="798"/>
      <c r="AB75" s="798"/>
      <c r="AC75" s="798"/>
      <c r="AD75" s="773"/>
      <c r="AE75" s="821">
        <f t="shared" si="76"/>
        <v>5408574</v>
      </c>
    </row>
    <row r="76" spans="1:31" s="756" customFormat="1" ht="141">
      <c r="A76" s="129">
        <v>55</v>
      </c>
      <c r="B76" s="126">
        <v>5</v>
      </c>
      <c r="C76" s="908" t="s">
        <v>383</v>
      </c>
      <c r="D76" s="806" t="s">
        <v>1140</v>
      </c>
      <c r="E76" s="125" t="s">
        <v>993</v>
      </c>
      <c r="F76" s="125">
        <v>10</v>
      </c>
      <c r="G76" s="126">
        <v>8</v>
      </c>
      <c r="H76" s="126">
        <v>2</v>
      </c>
      <c r="I76" s="125"/>
      <c r="J76" s="823"/>
      <c r="K76" s="125"/>
      <c r="L76" s="811"/>
      <c r="M76" s="129"/>
      <c r="N76" s="824"/>
      <c r="O76" s="129"/>
      <c r="P76" s="129"/>
      <c r="Q76" s="129"/>
      <c r="R76" s="824"/>
      <c r="S76" s="798">
        <v>45000</v>
      </c>
      <c r="T76" s="767">
        <f t="shared" ref="T76" si="81">S76*F76*(G76+H76)</f>
        <v>4500000</v>
      </c>
      <c r="U76" s="798">
        <v>30000</v>
      </c>
      <c r="V76" s="767">
        <f>U76*F76*(G76+H76)</f>
        <v>3000000</v>
      </c>
      <c r="W76" s="798">
        <v>10000</v>
      </c>
      <c r="X76" s="767">
        <f>W76*(G76+H76)</f>
        <v>100000</v>
      </c>
      <c r="Y76" s="798">
        <v>350000</v>
      </c>
      <c r="Z76" s="767">
        <f>Y76*(G76+H76)</f>
        <v>3500000</v>
      </c>
      <c r="AA76" s="761">
        <f t="shared" ref="AA76" si="82">55000*(G76+H76)</f>
        <v>550000</v>
      </c>
      <c r="AB76" s="798"/>
      <c r="AC76" s="798">
        <v>420000</v>
      </c>
      <c r="AD76" s="762">
        <f>T76+V76+X76+Z76+AA76+AB76+AC76</f>
        <v>12070000</v>
      </c>
      <c r="AE76" s="821">
        <f t="shared" si="76"/>
        <v>12070000</v>
      </c>
    </row>
    <row r="77" spans="1:31" s="756" customFormat="1" ht="74.25" customHeight="1">
      <c r="A77" s="1664" t="s">
        <v>38</v>
      </c>
      <c r="B77" s="1664"/>
      <c r="C77" s="1664"/>
      <c r="D77" s="1664"/>
      <c r="E77" s="1664"/>
      <c r="F77" s="781"/>
      <c r="G77" s="781"/>
      <c r="H77" s="781"/>
      <c r="I77" s="781"/>
      <c r="J77" s="781">
        <f>SUM(J72:J76)</f>
        <v>5508000</v>
      </c>
      <c r="K77" s="781"/>
      <c r="L77" s="781">
        <f>SUM(L72:L76)</f>
        <v>4657500</v>
      </c>
      <c r="M77" s="781"/>
      <c r="N77" s="781">
        <f>SUM(N72:N76)</f>
        <v>531648</v>
      </c>
      <c r="O77" s="781"/>
      <c r="P77" s="781">
        <f>SUM(P72:P76)</f>
        <v>120000</v>
      </c>
      <c r="Q77" s="781"/>
      <c r="R77" s="781">
        <f>SUM(R72:R76)</f>
        <v>10817148</v>
      </c>
      <c r="S77" s="781"/>
      <c r="T77" s="781">
        <f>SUM(T72:T76)</f>
        <v>14040000</v>
      </c>
      <c r="U77" s="781"/>
      <c r="V77" s="781">
        <f>SUM(V72:V76)</f>
        <v>9360000</v>
      </c>
      <c r="W77" s="781"/>
      <c r="X77" s="781">
        <f>SUM(X72:X76)</f>
        <v>184000</v>
      </c>
      <c r="Y77" s="781"/>
      <c r="Z77" s="781">
        <f t="shared" ref="Z77:AE77" si="83">SUM(Z72:Z76)</f>
        <v>10900000</v>
      </c>
      <c r="AA77" s="781">
        <f t="shared" si="83"/>
        <v>1320000</v>
      </c>
      <c r="AB77" s="781">
        <f t="shared" si="83"/>
        <v>0</v>
      </c>
      <c r="AC77" s="781">
        <f t="shared" si="83"/>
        <v>861445</v>
      </c>
      <c r="AD77" s="781">
        <f t="shared" si="83"/>
        <v>36665445</v>
      </c>
      <c r="AE77" s="781">
        <f t="shared" si="83"/>
        <v>47482593</v>
      </c>
    </row>
    <row r="78" spans="1:31" s="912" customFormat="1" ht="64.5">
      <c r="A78" s="1665" t="s">
        <v>1158</v>
      </c>
      <c r="B78" s="1666"/>
      <c r="C78" s="1666"/>
      <c r="D78" s="1666"/>
      <c r="E78" s="1666"/>
      <c r="F78" s="1666"/>
      <c r="G78" s="1666"/>
      <c r="H78" s="1666"/>
      <c r="I78" s="1667"/>
      <c r="J78" s="1667"/>
      <c r="K78" s="1667"/>
      <c r="L78" s="1667"/>
      <c r="M78" s="1667"/>
      <c r="N78" s="1667"/>
      <c r="O78" s="1667"/>
      <c r="P78" s="1667"/>
      <c r="Q78" s="1667"/>
      <c r="R78" s="1667"/>
      <c r="S78" s="1667"/>
      <c r="T78" s="1667"/>
      <c r="U78" s="1667"/>
      <c r="V78" s="1667"/>
      <c r="W78" s="1667"/>
      <c r="X78" s="1667"/>
      <c r="Y78" s="1667"/>
      <c r="Z78" s="1667"/>
      <c r="AA78" s="1667"/>
      <c r="AB78" s="1667"/>
      <c r="AC78" s="1667"/>
      <c r="AD78" s="1667"/>
      <c r="AE78" s="1668"/>
    </row>
    <row r="79" spans="1:31" s="756" customFormat="1" ht="141">
      <c r="A79" s="129">
        <v>56</v>
      </c>
      <c r="B79" s="769">
        <v>1</v>
      </c>
      <c r="C79" s="908" t="s">
        <v>1115</v>
      </c>
      <c r="D79" s="761" t="s">
        <v>384</v>
      </c>
      <c r="E79" s="125" t="s">
        <v>1082</v>
      </c>
      <c r="F79" s="808">
        <v>18</v>
      </c>
      <c r="G79" s="126">
        <v>15</v>
      </c>
      <c r="H79" s="808">
        <v>2</v>
      </c>
      <c r="I79" s="125">
        <v>8500</v>
      </c>
      <c r="J79" s="768">
        <f>(G79+H79)*I79*F79</f>
        <v>2601000</v>
      </c>
      <c r="K79" s="125">
        <f>3450*2.5</f>
        <v>8625</v>
      </c>
      <c r="L79" s="767">
        <f>K79*F79*G79</f>
        <v>2328750</v>
      </c>
      <c r="M79" s="769">
        <f>3692*2</f>
        <v>7384</v>
      </c>
      <c r="N79" s="769">
        <f t="shared" ref="N79" si="84">M79*H79*F79</f>
        <v>265824</v>
      </c>
      <c r="O79" s="129">
        <v>10000</v>
      </c>
      <c r="P79" s="129">
        <f t="shared" ref="P79" si="85">O79*H79*2</f>
        <v>40000</v>
      </c>
      <c r="Q79" s="129"/>
      <c r="R79" s="769">
        <f>SUM(J79+L79+N79+P79)+Q79</f>
        <v>5235574</v>
      </c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773"/>
      <c r="AE79" s="773">
        <f>R79+AD79</f>
        <v>5235574</v>
      </c>
    </row>
    <row r="80" spans="1:31" s="756" customFormat="1" ht="141">
      <c r="A80" s="796">
        <v>57</v>
      </c>
      <c r="B80" s="768">
        <v>2</v>
      </c>
      <c r="C80" s="905" t="s">
        <v>304</v>
      </c>
      <c r="D80" s="761" t="s">
        <v>302</v>
      </c>
      <c r="E80" s="125" t="s">
        <v>904</v>
      </c>
      <c r="F80" s="125">
        <v>8</v>
      </c>
      <c r="G80" s="126">
        <v>12</v>
      </c>
      <c r="H80" s="808">
        <v>2</v>
      </c>
      <c r="I80" s="125"/>
      <c r="J80" s="126"/>
      <c r="K80" s="125"/>
      <c r="L80" s="125"/>
      <c r="M80" s="129"/>
      <c r="N80" s="129"/>
      <c r="O80" s="129"/>
      <c r="P80" s="129"/>
      <c r="Q80" s="129"/>
      <c r="R80" s="129"/>
      <c r="S80" s="798">
        <v>17500</v>
      </c>
      <c r="T80" s="767">
        <f t="shared" ref="T80" si="86">S80*F80*(G80+H80)</f>
        <v>1960000</v>
      </c>
      <c r="U80" s="798">
        <v>17500</v>
      </c>
      <c r="V80" s="767">
        <f>U80*F80*(G80+H80)</f>
        <v>1960000</v>
      </c>
      <c r="W80" s="798">
        <v>14000</v>
      </c>
      <c r="X80" s="767">
        <f>W80*(G80+H80)</f>
        <v>196000</v>
      </c>
      <c r="Y80" s="798">
        <v>350000</v>
      </c>
      <c r="Z80" s="767">
        <f>Y80*(G80+H80)</f>
        <v>4900000</v>
      </c>
      <c r="AA80" s="798"/>
      <c r="AB80" s="798"/>
      <c r="AC80" s="761"/>
      <c r="AD80" s="762">
        <f>T80+V80+X80+Z80+AA80+AB80+AC80</f>
        <v>9016000</v>
      </c>
      <c r="AE80" s="773">
        <f t="shared" ref="AE80:AE87" si="87">R80+AD80</f>
        <v>9016000</v>
      </c>
    </row>
    <row r="81" spans="1:32" s="756" customFormat="1" ht="76.5">
      <c r="A81" s="129">
        <v>58</v>
      </c>
      <c r="B81" s="769">
        <v>3</v>
      </c>
      <c r="C81" s="908" t="s">
        <v>307</v>
      </c>
      <c r="D81" s="761" t="s">
        <v>318</v>
      </c>
      <c r="E81" s="125" t="s">
        <v>1084</v>
      </c>
      <c r="F81" s="808">
        <v>18</v>
      </c>
      <c r="G81" s="126">
        <v>15</v>
      </c>
      <c r="H81" s="808">
        <v>2</v>
      </c>
      <c r="I81" s="125">
        <v>8500</v>
      </c>
      <c r="J81" s="768">
        <f>(G81+H81)*I81*F81</f>
        <v>2601000</v>
      </c>
      <c r="K81" s="125">
        <f>3450*2.5</f>
        <v>8625</v>
      </c>
      <c r="L81" s="767">
        <f>K81*F81*G81</f>
        <v>2328750</v>
      </c>
      <c r="M81" s="769">
        <f>3692*2</f>
        <v>7384</v>
      </c>
      <c r="N81" s="769">
        <f t="shared" ref="N81" si="88">M81*H81*F81</f>
        <v>265824</v>
      </c>
      <c r="O81" s="129">
        <v>10000</v>
      </c>
      <c r="P81" s="129">
        <f t="shared" ref="P81" si="89">O81*H81*2</f>
        <v>40000</v>
      </c>
      <c r="Q81" s="129"/>
      <c r="R81" s="769">
        <f>SUM(J81+L81+N81+P81)+Q81</f>
        <v>5235574</v>
      </c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773"/>
      <c r="AE81" s="773">
        <f t="shared" si="87"/>
        <v>5235574</v>
      </c>
    </row>
    <row r="82" spans="1:32" s="756" customFormat="1" ht="141">
      <c r="A82" s="129">
        <v>59</v>
      </c>
      <c r="B82" s="769">
        <v>4</v>
      </c>
      <c r="C82" s="807" t="s">
        <v>1116</v>
      </c>
      <c r="D82" s="761" t="s">
        <v>318</v>
      </c>
      <c r="E82" s="798" t="s">
        <v>910</v>
      </c>
      <c r="F82" s="125">
        <v>10</v>
      </c>
      <c r="G82" s="126">
        <v>12</v>
      </c>
      <c r="H82" s="808">
        <v>2</v>
      </c>
      <c r="I82" s="125"/>
      <c r="J82" s="126"/>
      <c r="K82" s="125"/>
      <c r="L82" s="125"/>
      <c r="M82" s="129"/>
      <c r="N82" s="129"/>
      <c r="O82" s="129"/>
      <c r="P82" s="129"/>
      <c r="Q82" s="129"/>
      <c r="R82" s="129"/>
      <c r="S82" s="798">
        <v>43500</v>
      </c>
      <c r="T82" s="767">
        <f t="shared" ref="T82:T84" si="90">S82*F82*(G82+H82)</f>
        <v>6090000</v>
      </c>
      <c r="U82" s="798">
        <v>43500</v>
      </c>
      <c r="V82" s="767">
        <f>U82*F82*(G82+H82)</f>
        <v>6090000</v>
      </c>
      <c r="W82" s="798">
        <v>14700</v>
      </c>
      <c r="X82" s="767">
        <f>W82*(G82+H82)</f>
        <v>205800</v>
      </c>
      <c r="Y82" s="798">
        <v>450000</v>
      </c>
      <c r="Z82" s="767">
        <f>Y82*(G82+H82)</f>
        <v>6300000</v>
      </c>
      <c r="AA82" s="761">
        <f t="shared" ref="AA82" si="91">55000*(G82+H82)</f>
        <v>770000</v>
      </c>
      <c r="AB82" s="798"/>
      <c r="AC82" s="761">
        <v>304800</v>
      </c>
      <c r="AD82" s="762">
        <f>T82+V82+X82+Z82+AA82+AB82+AC82</f>
        <v>19760600</v>
      </c>
      <c r="AE82" s="773">
        <f t="shared" si="87"/>
        <v>19760600</v>
      </c>
    </row>
    <row r="83" spans="1:32" s="756" customFormat="1" ht="211.5">
      <c r="A83" s="769">
        <v>60</v>
      </c>
      <c r="B83" s="769">
        <v>5</v>
      </c>
      <c r="C83" s="908" t="s">
        <v>331</v>
      </c>
      <c r="D83" s="761" t="s">
        <v>359</v>
      </c>
      <c r="E83" s="761" t="s">
        <v>1008</v>
      </c>
      <c r="F83" s="767">
        <v>14</v>
      </c>
      <c r="G83" s="768">
        <v>12</v>
      </c>
      <c r="H83" s="791">
        <v>2</v>
      </c>
      <c r="I83" s="767"/>
      <c r="J83" s="768"/>
      <c r="K83" s="767"/>
      <c r="L83" s="767"/>
      <c r="M83" s="769"/>
      <c r="N83" s="769"/>
      <c r="O83" s="769"/>
      <c r="P83" s="769"/>
      <c r="Q83" s="769"/>
      <c r="R83" s="769"/>
      <c r="S83" s="761">
        <v>15000</v>
      </c>
      <c r="T83" s="767">
        <f t="shared" si="90"/>
        <v>2940000</v>
      </c>
      <c r="U83" s="761">
        <v>15000</v>
      </c>
      <c r="V83" s="767">
        <f t="shared" ref="V83:V84" si="92">U83*F83*(G83+H83)</f>
        <v>2940000</v>
      </c>
      <c r="W83" s="761">
        <v>14700</v>
      </c>
      <c r="X83" s="767">
        <f>W83*(G83+H83)</f>
        <v>205800</v>
      </c>
      <c r="Y83" s="761">
        <v>20000</v>
      </c>
      <c r="Z83" s="767">
        <f t="shared" ref="Z83:Z84" si="93">Y83*(G83+H83)</f>
        <v>280000</v>
      </c>
      <c r="AA83" s="761"/>
      <c r="AB83" s="761"/>
      <c r="AC83" s="761"/>
      <c r="AD83" s="762">
        <f t="shared" ref="AD83:AD84" si="94">T83+V83+X83+Z83+AA83+AB83+AC83</f>
        <v>6365800</v>
      </c>
      <c r="AE83" s="773">
        <f t="shared" si="87"/>
        <v>6365800</v>
      </c>
    </row>
    <row r="84" spans="1:32" s="756" customFormat="1" ht="211.5">
      <c r="A84" s="129">
        <v>61</v>
      </c>
      <c r="B84" s="769">
        <v>6</v>
      </c>
      <c r="C84" s="807" t="s">
        <v>1099</v>
      </c>
      <c r="D84" s="761" t="s">
        <v>359</v>
      </c>
      <c r="E84" s="798" t="s">
        <v>910</v>
      </c>
      <c r="F84" s="125">
        <v>8</v>
      </c>
      <c r="G84" s="126">
        <v>12</v>
      </c>
      <c r="H84" s="808">
        <v>2</v>
      </c>
      <c r="I84" s="125"/>
      <c r="J84" s="126"/>
      <c r="K84" s="125"/>
      <c r="L84" s="125"/>
      <c r="M84" s="129"/>
      <c r="N84" s="129"/>
      <c r="O84" s="129"/>
      <c r="P84" s="129"/>
      <c r="Q84" s="129"/>
      <c r="R84" s="129"/>
      <c r="S84" s="798">
        <v>43500</v>
      </c>
      <c r="T84" s="767">
        <f t="shared" si="90"/>
        <v>4872000</v>
      </c>
      <c r="U84" s="798">
        <v>43500</v>
      </c>
      <c r="V84" s="767">
        <f t="shared" si="92"/>
        <v>4872000</v>
      </c>
      <c r="W84" s="798">
        <v>14700</v>
      </c>
      <c r="X84" s="767">
        <f>W84*(G84+H84)</f>
        <v>205800</v>
      </c>
      <c r="Y84" s="798">
        <v>450000</v>
      </c>
      <c r="Z84" s="767">
        <f t="shared" si="93"/>
        <v>6300000</v>
      </c>
      <c r="AA84" s="761">
        <f t="shared" ref="AA84" si="95">55000*(G84+H84)</f>
        <v>770000</v>
      </c>
      <c r="AB84" s="798"/>
      <c r="AC84" s="761">
        <v>304800</v>
      </c>
      <c r="AD84" s="762">
        <f t="shared" si="94"/>
        <v>17324600</v>
      </c>
      <c r="AE84" s="773">
        <f t="shared" si="87"/>
        <v>17324600</v>
      </c>
    </row>
    <row r="85" spans="1:32" s="756" customFormat="1" ht="211.5">
      <c r="A85" s="129">
        <v>62</v>
      </c>
      <c r="B85" s="769">
        <v>7</v>
      </c>
      <c r="C85" s="908" t="s">
        <v>333</v>
      </c>
      <c r="D85" s="761" t="s">
        <v>1141</v>
      </c>
      <c r="E85" s="125" t="s">
        <v>1087</v>
      </c>
      <c r="F85" s="808">
        <v>18</v>
      </c>
      <c r="G85" s="126">
        <v>15</v>
      </c>
      <c r="H85" s="808">
        <v>2</v>
      </c>
      <c r="I85" s="125">
        <v>8500</v>
      </c>
      <c r="J85" s="768">
        <f>(G85+H85)*I85*F85</f>
        <v>2601000</v>
      </c>
      <c r="K85" s="125">
        <f>3450*2.5</f>
        <v>8625</v>
      </c>
      <c r="L85" s="767">
        <f>K85*F85*G85</f>
        <v>2328750</v>
      </c>
      <c r="M85" s="769">
        <f>3692*2</f>
        <v>7384</v>
      </c>
      <c r="N85" s="769">
        <f t="shared" ref="N85" si="96">M85*H85*F85</f>
        <v>265824</v>
      </c>
      <c r="O85" s="129">
        <v>10000</v>
      </c>
      <c r="P85" s="129">
        <f t="shared" ref="P85" si="97">O85*H85*2</f>
        <v>40000</v>
      </c>
      <c r="Q85" s="129"/>
      <c r="R85" s="769">
        <f>SUM(J85+L85+N85+P85)+Q85</f>
        <v>5235574</v>
      </c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773"/>
      <c r="AE85" s="773">
        <f t="shared" si="87"/>
        <v>5235574</v>
      </c>
    </row>
    <row r="86" spans="1:32" s="756" customFormat="1" ht="211.5">
      <c r="A86" s="129">
        <v>63</v>
      </c>
      <c r="B86" s="769">
        <v>8</v>
      </c>
      <c r="C86" s="807" t="s">
        <v>1011</v>
      </c>
      <c r="D86" s="761" t="s">
        <v>1130</v>
      </c>
      <c r="E86" s="798" t="s">
        <v>904</v>
      </c>
      <c r="F86" s="125">
        <v>8</v>
      </c>
      <c r="G86" s="126">
        <v>12</v>
      </c>
      <c r="H86" s="808">
        <v>2</v>
      </c>
      <c r="I86" s="125"/>
      <c r="J86" s="126"/>
      <c r="K86" s="125"/>
      <c r="L86" s="125"/>
      <c r="M86" s="129"/>
      <c r="N86" s="129"/>
      <c r="O86" s="129"/>
      <c r="P86" s="129"/>
      <c r="Q86" s="129"/>
      <c r="R86" s="129"/>
      <c r="S86" s="798">
        <v>43500</v>
      </c>
      <c r="T86" s="767">
        <f t="shared" ref="T86:T87" si="98">S86*F86*(G86+H86)</f>
        <v>4872000</v>
      </c>
      <c r="U86" s="798">
        <v>43500</v>
      </c>
      <c r="V86" s="767">
        <f t="shared" ref="V86:V87" si="99">U86*F86*(G86+H86)</f>
        <v>4872000</v>
      </c>
      <c r="W86" s="798">
        <v>14000</v>
      </c>
      <c r="X86" s="767">
        <f t="shared" ref="X86:X87" si="100">W86*(G86+H86)</f>
        <v>196000</v>
      </c>
      <c r="Y86" s="798">
        <v>350000</v>
      </c>
      <c r="Z86" s="767">
        <f t="shared" ref="Z86:Z87" si="101">Y86*(G86+H86)</f>
        <v>4900000</v>
      </c>
      <c r="AA86" s="798"/>
      <c r="AB86" s="798"/>
      <c r="AC86" s="761"/>
      <c r="AD86" s="762">
        <f t="shared" ref="AD86:AD87" si="102">T86+V86+X86+Z86+AA86+AB86+AC86</f>
        <v>14840000</v>
      </c>
      <c r="AE86" s="773">
        <f t="shared" si="87"/>
        <v>14840000</v>
      </c>
    </row>
    <row r="87" spans="1:32" s="756" customFormat="1" ht="282">
      <c r="A87" s="129">
        <v>64</v>
      </c>
      <c r="B87" s="769">
        <v>9</v>
      </c>
      <c r="C87" s="905" t="s">
        <v>304</v>
      </c>
      <c r="D87" s="761" t="s">
        <v>1142</v>
      </c>
      <c r="E87" s="798" t="s">
        <v>1008</v>
      </c>
      <c r="F87" s="125">
        <v>8</v>
      </c>
      <c r="G87" s="126">
        <v>8</v>
      </c>
      <c r="H87" s="808">
        <v>2</v>
      </c>
      <c r="I87" s="125"/>
      <c r="J87" s="126"/>
      <c r="K87" s="125"/>
      <c r="L87" s="125"/>
      <c r="M87" s="129"/>
      <c r="N87" s="129"/>
      <c r="O87" s="129"/>
      <c r="P87" s="129"/>
      <c r="Q87" s="129"/>
      <c r="R87" s="129"/>
      <c r="S87" s="798">
        <v>15000</v>
      </c>
      <c r="T87" s="767">
        <f t="shared" si="98"/>
        <v>1200000</v>
      </c>
      <c r="U87" s="798">
        <v>15000</v>
      </c>
      <c r="V87" s="767">
        <f t="shared" si="99"/>
        <v>1200000</v>
      </c>
      <c r="W87" s="798">
        <v>14000</v>
      </c>
      <c r="X87" s="767">
        <f t="shared" si="100"/>
        <v>140000</v>
      </c>
      <c r="Y87" s="798">
        <v>20000</v>
      </c>
      <c r="Z87" s="767">
        <f t="shared" si="101"/>
        <v>200000</v>
      </c>
      <c r="AA87" s="798"/>
      <c r="AB87" s="798"/>
      <c r="AC87" s="761"/>
      <c r="AD87" s="762">
        <f t="shared" si="102"/>
        <v>2740000</v>
      </c>
      <c r="AE87" s="773">
        <f t="shared" si="87"/>
        <v>2740000</v>
      </c>
    </row>
    <row r="88" spans="1:32" s="756" customFormat="1" ht="76.5">
      <c r="A88" s="1661" t="s">
        <v>38</v>
      </c>
      <c r="B88" s="1661"/>
      <c r="C88" s="1661"/>
      <c r="D88" s="1661"/>
      <c r="E88" s="1661"/>
      <c r="F88" s="1661"/>
      <c r="G88" s="1661"/>
      <c r="H88" s="780"/>
      <c r="I88" s="870"/>
      <c r="J88" s="870">
        <f>SUM(J79:J87)</f>
        <v>7803000</v>
      </c>
      <c r="K88" s="870"/>
      <c r="L88" s="870">
        <f>SUM(L79:L87)</f>
        <v>6986250</v>
      </c>
      <c r="M88" s="870"/>
      <c r="N88" s="870">
        <f>SUM(N79:N87)</f>
        <v>797472</v>
      </c>
      <c r="O88" s="869"/>
      <c r="P88" s="870">
        <f>SUM(P79:P87)</f>
        <v>120000</v>
      </c>
      <c r="Q88" s="869"/>
      <c r="R88" s="870">
        <f>SUM(R79:R87)</f>
        <v>15706722</v>
      </c>
      <c r="S88" s="869"/>
      <c r="T88" s="870">
        <f>SUM(T79:T87)</f>
        <v>21934000</v>
      </c>
      <c r="U88" s="869"/>
      <c r="V88" s="870">
        <f>SUM(V79:V87)</f>
        <v>21934000</v>
      </c>
      <c r="W88" s="869"/>
      <c r="X88" s="870">
        <f>SUM(X79:X87)</f>
        <v>1149400</v>
      </c>
      <c r="Y88" s="869"/>
      <c r="Z88" s="870">
        <f t="shared" ref="Z88:AA88" si="103">SUM(Z79:Z87)</f>
        <v>22880000</v>
      </c>
      <c r="AA88" s="870">
        <f t="shared" si="103"/>
        <v>1540000</v>
      </c>
      <c r="AB88" s="870"/>
      <c r="AC88" s="870">
        <f t="shared" ref="AC88" si="104">SUM(AC79:AC87)</f>
        <v>609600</v>
      </c>
      <c r="AD88" s="870">
        <f>SUM(AD79:AD87)</f>
        <v>70047000</v>
      </c>
      <c r="AE88" s="870">
        <f>SUM(AE79:AE87)</f>
        <v>85753722</v>
      </c>
      <c r="AF88" s="756" t="e">
        <f>AE88-#REF!-#REF!</f>
        <v>#REF!</v>
      </c>
    </row>
    <row r="89" spans="1:32" s="913" customFormat="1" ht="99.75" customHeight="1">
      <c r="A89" s="1665" t="s">
        <v>346</v>
      </c>
      <c r="B89" s="1666"/>
      <c r="C89" s="1666"/>
      <c r="D89" s="1666"/>
      <c r="E89" s="1666"/>
      <c r="F89" s="1666"/>
      <c r="G89" s="1666"/>
      <c r="H89" s="1666"/>
      <c r="I89" s="1667"/>
      <c r="J89" s="1667"/>
      <c r="K89" s="1667"/>
      <c r="L89" s="1667"/>
      <c r="M89" s="1667"/>
      <c r="N89" s="1667"/>
      <c r="O89" s="1667"/>
      <c r="P89" s="1667"/>
      <c r="Q89" s="1667"/>
      <c r="R89" s="1667"/>
      <c r="S89" s="1667"/>
      <c r="T89" s="1667"/>
      <c r="U89" s="1667"/>
      <c r="V89" s="1667"/>
      <c r="W89" s="1667"/>
      <c r="X89" s="1667"/>
      <c r="Y89" s="1667"/>
      <c r="Z89" s="1667"/>
      <c r="AA89" s="1667"/>
      <c r="AB89" s="1667"/>
      <c r="AC89" s="1667"/>
      <c r="AD89" s="1667"/>
      <c r="AE89" s="1668"/>
    </row>
    <row r="90" spans="1:32" s="756" customFormat="1" ht="141">
      <c r="A90" s="769">
        <v>65</v>
      </c>
      <c r="B90" s="769">
        <v>1</v>
      </c>
      <c r="C90" s="908" t="s">
        <v>1117</v>
      </c>
      <c r="D90" s="761" t="s">
        <v>1143</v>
      </c>
      <c r="E90" s="767" t="s">
        <v>1015</v>
      </c>
      <c r="F90" s="767">
        <v>14</v>
      </c>
      <c r="G90" s="768">
        <v>12</v>
      </c>
      <c r="H90" s="791">
        <v>2</v>
      </c>
      <c r="I90" s="767"/>
      <c r="J90" s="768"/>
      <c r="K90" s="767"/>
      <c r="L90" s="767"/>
      <c r="M90" s="769"/>
      <c r="N90" s="769"/>
      <c r="O90" s="769"/>
      <c r="P90" s="769"/>
      <c r="Q90" s="769"/>
      <c r="R90" s="769"/>
      <c r="S90" s="761">
        <v>25000</v>
      </c>
      <c r="T90" s="767">
        <f t="shared" ref="T90" si="105">S90*F90*(G90+H90)</f>
        <v>4900000</v>
      </c>
      <c r="U90" s="761">
        <v>20000</v>
      </c>
      <c r="V90" s="767">
        <f>U90*F90*(G90+H90)</f>
        <v>3920000</v>
      </c>
      <c r="W90" s="761">
        <v>14000</v>
      </c>
      <c r="X90" s="767">
        <f>W90*(G90+H90)</f>
        <v>196000</v>
      </c>
      <c r="Y90" s="761">
        <v>350000</v>
      </c>
      <c r="Z90" s="767">
        <f>Y90*(G90+H90)</f>
        <v>4900000</v>
      </c>
      <c r="AA90" s="761"/>
      <c r="AB90" s="761"/>
      <c r="AC90" s="761"/>
      <c r="AD90" s="762">
        <f>T90+V90+X90+Z90+AA90+AB90+AC90</f>
        <v>13916000</v>
      </c>
      <c r="AE90" s="762">
        <f>AD90+R90</f>
        <v>13916000</v>
      </c>
    </row>
    <row r="91" spans="1:32" s="756" customFormat="1" ht="141">
      <c r="A91" s="769">
        <v>66</v>
      </c>
      <c r="B91" s="769">
        <v>2</v>
      </c>
      <c r="C91" s="908" t="s">
        <v>1115</v>
      </c>
      <c r="D91" s="761" t="s">
        <v>397</v>
      </c>
      <c r="E91" s="767" t="s">
        <v>1016</v>
      </c>
      <c r="F91" s="791">
        <v>18</v>
      </c>
      <c r="G91" s="768">
        <v>15</v>
      </c>
      <c r="H91" s="791">
        <v>2</v>
      </c>
      <c r="I91" s="767"/>
      <c r="J91" s="768"/>
      <c r="K91" s="767">
        <f>3450*2.5</f>
        <v>8625</v>
      </c>
      <c r="L91" s="767">
        <f t="shared" ref="L91:L92" si="106">K91*F91*G91</f>
        <v>2328750</v>
      </c>
      <c r="M91" s="769">
        <f>3692*2</f>
        <v>7384</v>
      </c>
      <c r="N91" s="769">
        <f t="shared" ref="N91:N92" si="107">M91*H91*F91</f>
        <v>265824</v>
      </c>
      <c r="O91" s="769">
        <v>10000</v>
      </c>
      <c r="P91" s="129">
        <f t="shared" ref="P91:P92" si="108">O91*H91*2</f>
        <v>40000</v>
      </c>
      <c r="Q91" s="769"/>
      <c r="R91" s="769">
        <f t="shared" ref="R91:R92" si="109">SUM(J91+L91+N91+P91)+Q91</f>
        <v>2634574</v>
      </c>
      <c r="S91" s="769"/>
      <c r="T91" s="769"/>
      <c r="U91" s="769"/>
      <c r="V91" s="769"/>
      <c r="W91" s="769"/>
      <c r="X91" s="769"/>
      <c r="Y91" s="769"/>
      <c r="Z91" s="769"/>
      <c r="AA91" s="769"/>
      <c r="AB91" s="769"/>
      <c r="AC91" s="769"/>
      <c r="AD91" s="762"/>
      <c r="AE91" s="762">
        <f t="shared" ref="AE91:AE96" si="110">AD91+R91</f>
        <v>2634574</v>
      </c>
    </row>
    <row r="92" spans="1:32" s="756" customFormat="1" ht="141">
      <c r="A92" s="769">
        <v>67</v>
      </c>
      <c r="B92" s="769">
        <v>3</v>
      </c>
      <c r="C92" s="908" t="s">
        <v>1118</v>
      </c>
      <c r="D92" s="761" t="s">
        <v>351</v>
      </c>
      <c r="E92" s="767" t="s">
        <v>1016</v>
      </c>
      <c r="F92" s="791">
        <v>18</v>
      </c>
      <c r="G92" s="768">
        <v>15</v>
      </c>
      <c r="H92" s="791">
        <v>2</v>
      </c>
      <c r="I92" s="767"/>
      <c r="J92" s="768"/>
      <c r="K92" s="767">
        <f>3450*2.5</f>
        <v>8625</v>
      </c>
      <c r="L92" s="767">
        <f t="shared" si="106"/>
        <v>2328750</v>
      </c>
      <c r="M92" s="769">
        <f>3692*2</f>
        <v>7384</v>
      </c>
      <c r="N92" s="769">
        <f t="shared" si="107"/>
        <v>265824</v>
      </c>
      <c r="O92" s="769">
        <v>10000</v>
      </c>
      <c r="P92" s="129">
        <f t="shared" si="108"/>
        <v>40000</v>
      </c>
      <c r="Q92" s="769"/>
      <c r="R92" s="769">
        <f t="shared" si="109"/>
        <v>2634574</v>
      </c>
      <c r="S92" s="769"/>
      <c r="T92" s="769"/>
      <c r="U92" s="769"/>
      <c r="V92" s="769"/>
      <c r="W92" s="769"/>
      <c r="X92" s="769"/>
      <c r="Y92" s="769"/>
      <c r="Z92" s="769"/>
      <c r="AA92" s="769"/>
      <c r="AB92" s="769"/>
      <c r="AC92" s="769"/>
      <c r="AD92" s="762"/>
      <c r="AE92" s="762">
        <f t="shared" si="110"/>
        <v>2634574</v>
      </c>
    </row>
    <row r="93" spans="1:32" s="756" customFormat="1" ht="76.5">
      <c r="A93" s="769">
        <v>68</v>
      </c>
      <c r="B93" s="769">
        <v>4</v>
      </c>
      <c r="C93" s="905" t="s">
        <v>304</v>
      </c>
      <c r="D93" s="761" t="s">
        <v>318</v>
      </c>
      <c r="E93" s="767" t="s">
        <v>353</v>
      </c>
      <c r="F93" s="767">
        <v>10</v>
      </c>
      <c r="G93" s="768">
        <v>12</v>
      </c>
      <c r="H93" s="791">
        <v>3</v>
      </c>
      <c r="I93" s="767"/>
      <c r="J93" s="768"/>
      <c r="K93" s="767"/>
      <c r="L93" s="767"/>
      <c r="M93" s="769"/>
      <c r="N93" s="769"/>
      <c r="O93" s="769"/>
      <c r="P93" s="769"/>
      <c r="Q93" s="769"/>
      <c r="R93" s="769"/>
      <c r="S93" s="761">
        <v>25000</v>
      </c>
      <c r="T93" s="767">
        <f t="shared" ref="T93" si="111">S93*F93*(G93+H93)</f>
        <v>3750000</v>
      </c>
      <c r="U93" s="761">
        <v>20000</v>
      </c>
      <c r="V93" s="767">
        <f>U93*F93*(G93+H93)</f>
        <v>3000000</v>
      </c>
      <c r="W93" s="761">
        <v>14000</v>
      </c>
      <c r="X93" s="767">
        <f>W93*(G93+H93)</f>
        <v>210000</v>
      </c>
      <c r="Y93" s="761">
        <v>350000</v>
      </c>
      <c r="Z93" s="767">
        <f>Y93*(G93+H93)</f>
        <v>5250000</v>
      </c>
      <c r="AA93" s="761">
        <f t="shared" ref="AA93" si="112">55000*(G93+H93)</f>
        <v>825000</v>
      </c>
      <c r="AB93" s="761"/>
      <c r="AC93" s="761"/>
      <c r="AD93" s="762">
        <f>T93+V93+X93+Z93+AA93+AB93+AC93</f>
        <v>13035000</v>
      </c>
      <c r="AE93" s="762">
        <f t="shared" si="110"/>
        <v>13035000</v>
      </c>
    </row>
    <row r="94" spans="1:32" s="756" customFormat="1" ht="211.5">
      <c r="A94" s="769">
        <v>69</v>
      </c>
      <c r="B94" s="769">
        <v>5</v>
      </c>
      <c r="C94" s="908" t="s">
        <v>1119</v>
      </c>
      <c r="D94" s="761" t="s">
        <v>359</v>
      </c>
      <c r="E94" s="767" t="s">
        <v>1093</v>
      </c>
      <c r="F94" s="791">
        <v>18</v>
      </c>
      <c r="G94" s="768">
        <v>15</v>
      </c>
      <c r="H94" s="791">
        <v>2</v>
      </c>
      <c r="I94" s="767">
        <v>8500</v>
      </c>
      <c r="J94" s="768">
        <f>(G94+H94)*I94*F94</f>
        <v>2601000</v>
      </c>
      <c r="K94" s="767">
        <f>3450*2.5</f>
        <v>8625</v>
      </c>
      <c r="L94" s="767">
        <f>K94*F94*G94</f>
        <v>2328750</v>
      </c>
      <c r="M94" s="769">
        <f>3692*2</f>
        <v>7384</v>
      </c>
      <c r="N94" s="769">
        <f t="shared" ref="N94" si="113">M94*H94*F94</f>
        <v>265824</v>
      </c>
      <c r="O94" s="769">
        <v>10000</v>
      </c>
      <c r="P94" s="129">
        <f t="shared" ref="P94" si="114">O94*H94*2</f>
        <v>40000</v>
      </c>
      <c r="Q94" s="769"/>
      <c r="R94" s="769">
        <f>SUM(J94+L94+N94+P94)+Q94</f>
        <v>5235574</v>
      </c>
      <c r="S94" s="769"/>
      <c r="T94" s="769"/>
      <c r="U94" s="769"/>
      <c r="V94" s="769"/>
      <c r="W94" s="769"/>
      <c r="X94" s="769"/>
      <c r="Y94" s="769"/>
      <c r="Z94" s="769"/>
      <c r="AA94" s="769"/>
      <c r="AB94" s="769"/>
      <c r="AC94" s="769"/>
      <c r="AD94" s="762"/>
      <c r="AE94" s="762">
        <f t="shared" si="110"/>
        <v>5235574</v>
      </c>
    </row>
    <row r="95" spans="1:32" s="756" customFormat="1" ht="211.5">
      <c r="A95" s="769">
        <v>70</v>
      </c>
      <c r="B95" s="769">
        <v>6</v>
      </c>
      <c r="C95" s="795" t="s">
        <v>1120</v>
      </c>
      <c r="D95" s="761" t="s">
        <v>359</v>
      </c>
      <c r="E95" s="767" t="s">
        <v>910</v>
      </c>
      <c r="F95" s="125">
        <v>8</v>
      </c>
      <c r="G95" s="126">
        <v>15</v>
      </c>
      <c r="H95" s="808">
        <v>3</v>
      </c>
      <c r="I95" s="125"/>
      <c r="J95" s="126"/>
      <c r="K95" s="125"/>
      <c r="L95" s="125"/>
      <c r="M95" s="129"/>
      <c r="N95" s="129"/>
      <c r="O95" s="129"/>
      <c r="P95" s="129"/>
      <c r="Q95" s="129"/>
      <c r="R95" s="129"/>
      <c r="S95" s="798">
        <v>43500</v>
      </c>
      <c r="T95" s="767">
        <f t="shared" ref="T95" si="115">S95*F95*(G95+H95)</f>
        <v>6264000</v>
      </c>
      <c r="U95" s="798">
        <v>43500</v>
      </c>
      <c r="V95" s="767">
        <f>U95*F95*(G95+H95)</f>
        <v>6264000</v>
      </c>
      <c r="W95" s="798">
        <v>14700</v>
      </c>
      <c r="X95" s="767">
        <f>W95*(G95+H95)</f>
        <v>264600</v>
      </c>
      <c r="Y95" s="798">
        <v>450000</v>
      </c>
      <c r="Z95" s="767">
        <f>Y95*(G95+H95)</f>
        <v>8100000</v>
      </c>
      <c r="AA95" s="761">
        <f t="shared" ref="AA95" si="116">55000*(G95+H95)</f>
        <v>990000</v>
      </c>
      <c r="AB95" s="798"/>
      <c r="AC95" s="761"/>
      <c r="AD95" s="762">
        <f>T95+V95+X95+Z95+AA95+AB95+AC95</f>
        <v>21882600</v>
      </c>
      <c r="AE95" s="762">
        <f t="shared" si="110"/>
        <v>21882600</v>
      </c>
    </row>
    <row r="96" spans="1:32" s="756" customFormat="1" ht="282">
      <c r="A96" s="769">
        <v>71</v>
      </c>
      <c r="B96" s="769">
        <v>7</v>
      </c>
      <c r="C96" s="908" t="s">
        <v>1121</v>
      </c>
      <c r="D96" s="761" t="s">
        <v>1144</v>
      </c>
      <c r="E96" s="767" t="s">
        <v>387</v>
      </c>
      <c r="F96" s="791">
        <v>18</v>
      </c>
      <c r="G96" s="768">
        <v>15</v>
      </c>
      <c r="H96" s="791">
        <v>3</v>
      </c>
      <c r="I96" s="767">
        <v>8500</v>
      </c>
      <c r="J96" s="768">
        <f>(G96+H96)*I96*F96</f>
        <v>2754000</v>
      </c>
      <c r="K96" s="767">
        <f>3450*2.5</f>
        <v>8625</v>
      </c>
      <c r="L96" s="767">
        <f>K96*F96*G96</f>
        <v>2328750</v>
      </c>
      <c r="M96" s="769">
        <f>3692*2</f>
        <v>7384</v>
      </c>
      <c r="N96" s="769">
        <f t="shared" ref="N96" si="117">M96*H96*F96</f>
        <v>398736</v>
      </c>
      <c r="O96" s="769">
        <v>10000</v>
      </c>
      <c r="P96" s="129">
        <f t="shared" ref="P96" si="118">O96*H96*2</f>
        <v>60000</v>
      </c>
      <c r="Q96" s="769"/>
      <c r="R96" s="769">
        <f>SUM(J96+L96+N96+P96)+Q96</f>
        <v>5541486</v>
      </c>
      <c r="S96" s="769"/>
      <c r="T96" s="769"/>
      <c r="U96" s="769"/>
      <c r="V96" s="769"/>
      <c r="W96" s="769"/>
      <c r="X96" s="769"/>
      <c r="Y96" s="769"/>
      <c r="Z96" s="769"/>
      <c r="AA96" s="769"/>
      <c r="AB96" s="769"/>
      <c r="AC96" s="769"/>
      <c r="AD96" s="762"/>
      <c r="AE96" s="762">
        <f t="shared" si="110"/>
        <v>5541486</v>
      </c>
    </row>
    <row r="97" spans="1:32" s="756" customFormat="1" ht="141">
      <c r="A97" s="769">
        <v>72</v>
      </c>
      <c r="B97" s="768">
        <v>8</v>
      </c>
      <c r="C97" s="795" t="s">
        <v>1122</v>
      </c>
      <c r="D97" s="761" t="s">
        <v>374</v>
      </c>
      <c r="E97" s="767" t="s">
        <v>927</v>
      </c>
      <c r="F97" s="767">
        <v>8</v>
      </c>
      <c r="G97" s="768">
        <v>15</v>
      </c>
      <c r="H97" s="791">
        <v>2</v>
      </c>
      <c r="I97" s="767"/>
      <c r="J97" s="768"/>
      <c r="K97" s="767"/>
      <c r="L97" s="767"/>
      <c r="M97" s="769"/>
      <c r="N97" s="769"/>
      <c r="O97" s="769"/>
      <c r="P97" s="769"/>
      <c r="Q97" s="769"/>
      <c r="R97" s="769"/>
      <c r="S97" s="761">
        <v>43500</v>
      </c>
      <c r="T97" s="767">
        <f t="shared" ref="T97" si="119">S97*F97*(G97+H97)</f>
        <v>5916000</v>
      </c>
      <c r="U97" s="761">
        <v>43500</v>
      </c>
      <c r="V97" s="767">
        <f>U97*F97*(G97+H97)</f>
        <v>5916000</v>
      </c>
      <c r="W97" s="761">
        <v>18500</v>
      </c>
      <c r="X97" s="767">
        <f>W97*(G97+H97)</f>
        <v>314500</v>
      </c>
      <c r="Y97" s="761">
        <v>450000</v>
      </c>
      <c r="Z97" s="767">
        <f>Y97*(G97+H97)</f>
        <v>7650000</v>
      </c>
      <c r="AA97" s="761">
        <f t="shared" ref="AA97" si="120">55000*(G97+H97)</f>
        <v>935000</v>
      </c>
      <c r="AB97" s="761"/>
      <c r="AC97" s="761">
        <f>45000*G97</f>
        <v>675000</v>
      </c>
      <c r="AD97" s="762">
        <f>T97+V97+X97+Z97+AA97+AB97+AC97</f>
        <v>21406500</v>
      </c>
      <c r="AE97" s="762">
        <f>AD97+R97</f>
        <v>21406500</v>
      </c>
    </row>
    <row r="98" spans="1:32" s="756" customFormat="1" ht="76.5">
      <c r="A98" s="1661" t="s">
        <v>38</v>
      </c>
      <c r="B98" s="1661"/>
      <c r="C98" s="1661"/>
      <c r="D98" s="1661"/>
      <c r="E98" s="1661"/>
      <c r="F98" s="1661"/>
      <c r="G98" s="1661"/>
      <c r="H98" s="1661"/>
      <c r="I98" s="870"/>
      <c r="J98" s="870">
        <f>SUM(J90:J97)</f>
        <v>5355000</v>
      </c>
      <c r="K98" s="870"/>
      <c r="L98" s="870">
        <f>SUM(L90:L97)</f>
        <v>9315000</v>
      </c>
      <c r="M98" s="870"/>
      <c r="N98" s="870">
        <f>SUM(N90:N97)</f>
        <v>1196208</v>
      </c>
      <c r="O98" s="869"/>
      <c r="P98" s="870">
        <f>SUM(P90:P97)</f>
        <v>180000</v>
      </c>
      <c r="Q98" s="869"/>
      <c r="R98" s="870">
        <f>SUM(R90:R97)</f>
        <v>16046208</v>
      </c>
      <c r="S98" s="869"/>
      <c r="T98" s="870">
        <f>SUM(T90:T97)</f>
        <v>20830000</v>
      </c>
      <c r="U98" s="869"/>
      <c r="V98" s="870">
        <f>SUM(V90:V97)</f>
        <v>19100000</v>
      </c>
      <c r="W98" s="869"/>
      <c r="X98" s="870">
        <f>SUM(X90:X97)</f>
        <v>985100</v>
      </c>
      <c r="Y98" s="869"/>
      <c r="Z98" s="870">
        <f t="shared" ref="Z98:AA98" si="121">SUM(Z90:Z97)</f>
        <v>25900000</v>
      </c>
      <c r="AA98" s="870">
        <f t="shared" si="121"/>
        <v>2750000</v>
      </c>
      <c r="AB98" s="870"/>
      <c r="AC98" s="870">
        <f t="shared" ref="AC98:AE98" si="122">SUM(AC90:AC97)</f>
        <v>675000</v>
      </c>
      <c r="AD98" s="870">
        <f t="shared" si="122"/>
        <v>70240100</v>
      </c>
      <c r="AE98" s="870">
        <f t="shared" si="122"/>
        <v>86286308</v>
      </c>
      <c r="AF98" s="756" t="e">
        <f>AE98-#REF!-#REF!</f>
        <v>#REF!</v>
      </c>
    </row>
    <row r="99" spans="1:32" s="914" customFormat="1" ht="106.5" customHeight="1">
      <c r="A99" s="1663" t="s">
        <v>299</v>
      </c>
      <c r="B99" s="1663"/>
      <c r="C99" s="1663"/>
      <c r="D99" s="1663"/>
      <c r="E99" s="1663"/>
      <c r="F99" s="1663"/>
      <c r="G99" s="1663"/>
      <c r="H99" s="1663"/>
      <c r="I99" s="1663"/>
      <c r="J99" s="1663"/>
      <c r="K99" s="1663"/>
      <c r="L99" s="1663"/>
      <c r="M99" s="1663"/>
      <c r="N99" s="1663"/>
      <c r="O99" s="1663"/>
      <c r="P99" s="1663"/>
      <c r="Q99" s="1663"/>
      <c r="R99" s="1663"/>
      <c r="S99" s="1663"/>
      <c r="T99" s="1663"/>
      <c r="U99" s="1663"/>
      <c r="V99" s="1663"/>
      <c r="W99" s="1663"/>
      <c r="X99" s="1663"/>
      <c r="Y99" s="1663"/>
      <c r="Z99" s="1663"/>
      <c r="AA99" s="1663"/>
      <c r="AB99" s="1663"/>
      <c r="AC99" s="1663"/>
      <c r="AD99" s="1663"/>
      <c r="AE99" s="1663"/>
    </row>
    <row r="100" spans="1:32" s="756" customFormat="1" ht="141">
      <c r="A100" s="129">
        <v>83</v>
      </c>
      <c r="B100" s="810">
        <v>1</v>
      </c>
      <c r="C100" s="908" t="s">
        <v>1123</v>
      </c>
      <c r="D100" s="767" t="s">
        <v>1131</v>
      </c>
      <c r="E100" s="767" t="s">
        <v>1087</v>
      </c>
      <c r="F100" s="125">
        <v>18</v>
      </c>
      <c r="G100" s="809">
        <v>15</v>
      </c>
      <c r="H100" s="810">
        <v>2</v>
      </c>
      <c r="I100" s="125">
        <v>8500</v>
      </c>
      <c r="J100" s="768">
        <f t="shared" ref="J100" si="123">(G100+H100)*I100*F100</f>
        <v>2601000</v>
      </c>
      <c r="K100" s="125">
        <v>8625</v>
      </c>
      <c r="L100" s="767">
        <f t="shared" ref="L100" si="124">K100*F100*G100</f>
        <v>2328750</v>
      </c>
      <c r="M100" s="769">
        <f>3692*2</f>
        <v>7384</v>
      </c>
      <c r="N100" s="769">
        <f t="shared" ref="N100:N101" si="125">M100*H100*F100</f>
        <v>265824</v>
      </c>
      <c r="O100" s="129">
        <v>10000</v>
      </c>
      <c r="P100" s="129">
        <f t="shared" ref="P100:P101" si="126">O100*H100*2</f>
        <v>40000</v>
      </c>
      <c r="Q100" s="811"/>
      <c r="R100" s="769">
        <f>SUM(J100+L100+N100+P100)+Q100</f>
        <v>5235574</v>
      </c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769"/>
      <c r="AE100" s="782">
        <f>R100+AD100</f>
        <v>5235574</v>
      </c>
    </row>
    <row r="101" spans="1:32" s="756" customFormat="1" ht="352.5">
      <c r="A101" s="769">
        <v>73</v>
      </c>
      <c r="B101" s="810">
        <v>2</v>
      </c>
      <c r="C101" s="908" t="s">
        <v>321</v>
      </c>
      <c r="D101" s="767" t="s">
        <v>1145</v>
      </c>
      <c r="E101" s="125" t="s">
        <v>1085</v>
      </c>
      <c r="F101" s="125">
        <v>18</v>
      </c>
      <c r="G101" s="809">
        <v>15</v>
      </c>
      <c r="H101" s="810">
        <v>2</v>
      </c>
      <c r="I101" s="125">
        <v>8500</v>
      </c>
      <c r="J101" s="768">
        <f>(G101+H101)*I101*F101</f>
        <v>2601000</v>
      </c>
      <c r="K101" s="125">
        <v>8625</v>
      </c>
      <c r="L101" s="767">
        <f>K101*F101*G101</f>
        <v>2328750</v>
      </c>
      <c r="M101" s="769">
        <f>3692*2</f>
        <v>7384</v>
      </c>
      <c r="N101" s="769">
        <f t="shared" si="125"/>
        <v>265824</v>
      </c>
      <c r="O101" s="129">
        <v>10000</v>
      </c>
      <c r="P101" s="129">
        <f t="shared" si="126"/>
        <v>40000</v>
      </c>
      <c r="Q101" s="811"/>
      <c r="R101" s="769">
        <f>SUM(J101+L101+N101+P101)+Q101</f>
        <v>5235574</v>
      </c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769"/>
      <c r="AE101" s="762">
        <f>AD101+R101</f>
        <v>5235574</v>
      </c>
    </row>
    <row r="102" spans="1:32" s="756" customFormat="1" ht="211.5">
      <c r="A102" s="769">
        <v>74</v>
      </c>
      <c r="B102" s="810">
        <v>3</v>
      </c>
      <c r="C102" s="908" t="s">
        <v>1124</v>
      </c>
      <c r="D102" s="767" t="s">
        <v>1146</v>
      </c>
      <c r="E102" s="767" t="s">
        <v>904</v>
      </c>
      <c r="F102" s="767">
        <v>14</v>
      </c>
      <c r="G102" s="783">
        <v>12</v>
      </c>
      <c r="H102" s="784">
        <v>3</v>
      </c>
      <c r="I102" s="767"/>
      <c r="J102" s="768"/>
      <c r="K102" s="767"/>
      <c r="L102" s="785"/>
      <c r="M102" s="769"/>
      <c r="N102" s="786"/>
      <c r="O102" s="769"/>
      <c r="P102" s="786"/>
      <c r="Q102" s="785"/>
      <c r="R102" s="786"/>
      <c r="S102" s="126">
        <v>17500</v>
      </c>
      <c r="T102" s="767">
        <f t="shared" ref="T102" si="127">S102*F102*(G102+H102)</f>
        <v>3675000</v>
      </c>
      <c r="U102" s="126">
        <v>17500</v>
      </c>
      <c r="V102" s="767">
        <f>U102*F102*(G102+H102)</f>
        <v>3675000</v>
      </c>
      <c r="W102" s="125">
        <v>34100</v>
      </c>
      <c r="X102" s="767">
        <f>W102*(G102+H102)</f>
        <v>511500</v>
      </c>
      <c r="Y102" s="812">
        <v>350000</v>
      </c>
      <c r="Z102" s="767">
        <f>Y102*(G102+H102)</f>
        <v>5250000</v>
      </c>
      <c r="AA102" s="761">
        <f t="shared" ref="AA102" si="128">55000*(G102+H102)</f>
        <v>825000</v>
      </c>
      <c r="AB102" s="125"/>
      <c r="AC102" s="761">
        <f>45000*G102</f>
        <v>540000</v>
      </c>
      <c r="AD102" s="762">
        <f>T102+V102+X102+Z102+AA102+AB102+AC102</f>
        <v>14476500</v>
      </c>
      <c r="AE102" s="762">
        <f t="shared" ref="AE102:AE110" si="129">AD102+R102</f>
        <v>14476500</v>
      </c>
    </row>
    <row r="103" spans="1:32" s="756" customFormat="1" ht="211.5">
      <c r="A103" s="769">
        <v>75</v>
      </c>
      <c r="B103" s="810">
        <v>4</v>
      </c>
      <c r="C103" s="908" t="s">
        <v>1118</v>
      </c>
      <c r="D103" s="767" t="s">
        <v>308</v>
      </c>
      <c r="E103" s="125" t="s">
        <v>1091</v>
      </c>
      <c r="F103" s="125">
        <v>18</v>
      </c>
      <c r="G103" s="809">
        <v>15</v>
      </c>
      <c r="H103" s="810">
        <v>2</v>
      </c>
      <c r="I103" s="125">
        <v>8500</v>
      </c>
      <c r="J103" s="768">
        <f t="shared" ref="J103:J104" si="130">(G103+H103)*I103*F103</f>
        <v>2601000</v>
      </c>
      <c r="K103" s="125">
        <v>8625</v>
      </c>
      <c r="L103" s="767">
        <f t="shared" ref="L103:L104" si="131">K103*F103*G103</f>
        <v>2328750</v>
      </c>
      <c r="M103" s="769">
        <f>3692*2</f>
        <v>7384</v>
      </c>
      <c r="N103" s="769">
        <f t="shared" ref="N103:N104" si="132">M103*H103*F103</f>
        <v>265824</v>
      </c>
      <c r="O103" s="129">
        <v>10000</v>
      </c>
      <c r="P103" s="129">
        <f t="shared" ref="P103:P104" si="133">O103*H103*2</f>
        <v>40000</v>
      </c>
      <c r="Q103" s="811"/>
      <c r="R103" s="769">
        <f t="shared" ref="R103:R104" si="134">SUM(J103+L103+N103+P103)+Q103</f>
        <v>5235574</v>
      </c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769"/>
      <c r="AE103" s="762">
        <f t="shared" si="129"/>
        <v>5235574</v>
      </c>
    </row>
    <row r="104" spans="1:32" s="756" customFormat="1" ht="141">
      <c r="A104" s="769">
        <v>76</v>
      </c>
      <c r="B104" s="810">
        <v>5</v>
      </c>
      <c r="C104" s="908" t="s">
        <v>1119</v>
      </c>
      <c r="D104" s="767" t="s">
        <v>332</v>
      </c>
      <c r="E104" s="125" t="s">
        <v>1094</v>
      </c>
      <c r="F104" s="125">
        <v>18</v>
      </c>
      <c r="G104" s="809">
        <v>15</v>
      </c>
      <c r="H104" s="810">
        <v>2</v>
      </c>
      <c r="I104" s="125">
        <v>8500</v>
      </c>
      <c r="J104" s="768">
        <f t="shared" si="130"/>
        <v>2601000</v>
      </c>
      <c r="K104" s="125">
        <v>8625</v>
      </c>
      <c r="L104" s="767">
        <f t="shared" si="131"/>
        <v>2328750</v>
      </c>
      <c r="M104" s="769">
        <f>3692*2</f>
        <v>7384</v>
      </c>
      <c r="N104" s="769">
        <f t="shared" si="132"/>
        <v>265824</v>
      </c>
      <c r="O104" s="129">
        <v>10000</v>
      </c>
      <c r="P104" s="129">
        <f t="shared" si="133"/>
        <v>40000</v>
      </c>
      <c r="Q104" s="811"/>
      <c r="R104" s="769">
        <f t="shared" si="134"/>
        <v>5235574</v>
      </c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769"/>
      <c r="AE104" s="762">
        <f t="shared" si="129"/>
        <v>5235574</v>
      </c>
    </row>
    <row r="105" spans="1:32" s="756" customFormat="1" ht="282">
      <c r="A105" s="769">
        <v>77</v>
      </c>
      <c r="B105" s="810">
        <v>6</v>
      </c>
      <c r="C105" s="795" t="s">
        <v>1125</v>
      </c>
      <c r="D105" s="125" t="s">
        <v>1147</v>
      </c>
      <c r="E105" s="767" t="s">
        <v>1036</v>
      </c>
      <c r="F105" s="125">
        <v>8</v>
      </c>
      <c r="G105" s="809">
        <v>12</v>
      </c>
      <c r="H105" s="810">
        <v>3</v>
      </c>
      <c r="I105" s="125"/>
      <c r="J105" s="126"/>
      <c r="K105" s="125"/>
      <c r="L105" s="125"/>
      <c r="M105" s="129"/>
      <c r="N105" s="129"/>
      <c r="O105" s="129"/>
      <c r="P105" s="129"/>
      <c r="Q105" s="811"/>
      <c r="R105" s="769"/>
      <c r="S105" s="787">
        <v>43500</v>
      </c>
      <c r="T105" s="767">
        <f t="shared" ref="T105" si="135">S105*F105*(G105+H105)</f>
        <v>5220000</v>
      </c>
      <c r="U105" s="787">
        <v>43500</v>
      </c>
      <c r="V105" s="767">
        <f>U105*F105*(G105+H105)</f>
        <v>5220000</v>
      </c>
      <c r="W105" s="787">
        <v>14700</v>
      </c>
      <c r="X105" s="767">
        <f>W105*(G105+H105)</f>
        <v>220500</v>
      </c>
      <c r="Y105" s="788">
        <v>450000</v>
      </c>
      <c r="Z105" s="767">
        <f>Y105*(G105+H105)</f>
        <v>6750000</v>
      </c>
      <c r="AA105" s="761">
        <f t="shared" ref="AA105" si="136">55000*(G105+H105)</f>
        <v>825000</v>
      </c>
      <c r="AB105" s="787"/>
      <c r="AC105" s="761">
        <f>45000*G105</f>
        <v>540000</v>
      </c>
      <c r="AD105" s="762">
        <f>T105+V105+X105+Z105+AA105+AB105+AC105</f>
        <v>18775500</v>
      </c>
      <c r="AE105" s="762">
        <f t="shared" si="129"/>
        <v>18775500</v>
      </c>
    </row>
    <row r="106" spans="1:32" s="756" customFormat="1" ht="211.5">
      <c r="A106" s="769">
        <v>78</v>
      </c>
      <c r="B106" s="810">
        <v>7</v>
      </c>
      <c r="C106" s="908" t="s">
        <v>331</v>
      </c>
      <c r="D106" s="767" t="s">
        <v>1148</v>
      </c>
      <c r="E106" s="125" t="s">
        <v>1095</v>
      </c>
      <c r="F106" s="125">
        <v>14</v>
      </c>
      <c r="G106" s="809">
        <v>15</v>
      </c>
      <c r="H106" s="810">
        <v>2</v>
      </c>
      <c r="I106" s="125">
        <v>8500</v>
      </c>
      <c r="J106" s="768">
        <f t="shared" ref="J106:J107" si="137">(G106+H106)*I106*F106</f>
        <v>2023000</v>
      </c>
      <c r="K106" s="125">
        <v>8625</v>
      </c>
      <c r="L106" s="767">
        <f t="shared" ref="L106:L107" si="138">K106*F106*G106</f>
        <v>1811250</v>
      </c>
      <c r="M106" s="769">
        <f>3692*2</f>
        <v>7384</v>
      </c>
      <c r="N106" s="769">
        <f t="shared" ref="N106:N107" si="139">M106*H106*F106</f>
        <v>206752</v>
      </c>
      <c r="O106" s="129">
        <v>10000</v>
      </c>
      <c r="P106" s="129">
        <f t="shared" ref="P106:P107" si="140">O106*H106*2</f>
        <v>40000</v>
      </c>
      <c r="Q106" s="811"/>
      <c r="R106" s="769">
        <f t="shared" ref="R106:R107" si="141">SUM(J106+L106+N106+P106)+Q106</f>
        <v>4081002</v>
      </c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769"/>
      <c r="AE106" s="762">
        <f t="shared" si="129"/>
        <v>4081002</v>
      </c>
    </row>
    <row r="107" spans="1:32" s="756" customFormat="1" ht="211.5">
      <c r="A107" s="769">
        <v>79</v>
      </c>
      <c r="B107" s="810">
        <v>8</v>
      </c>
      <c r="C107" s="908" t="s">
        <v>333</v>
      </c>
      <c r="D107" s="767" t="s">
        <v>1148</v>
      </c>
      <c r="E107" s="125" t="s">
        <v>1096</v>
      </c>
      <c r="F107" s="125">
        <v>14</v>
      </c>
      <c r="G107" s="809">
        <v>15</v>
      </c>
      <c r="H107" s="810">
        <v>2</v>
      </c>
      <c r="I107" s="125">
        <v>8500</v>
      </c>
      <c r="J107" s="768">
        <f t="shared" si="137"/>
        <v>2023000</v>
      </c>
      <c r="K107" s="125">
        <v>8625</v>
      </c>
      <c r="L107" s="767">
        <f t="shared" si="138"/>
        <v>1811250</v>
      </c>
      <c r="M107" s="769">
        <f>3692*2</f>
        <v>7384</v>
      </c>
      <c r="N107" s="769">
        <f t="shared" si="139"/>
        <v>206752</v>
      </c>
      <c r="O107" s="129">
        <v>10000</v>
      </c>
      <c r="P107" s="129">
        <f t="shared" si="140"/>
        <v>40000</v>
      </c>
      <c r="Q107" s="811"/>
      <c r="R107" s="769">
        <f t="shared" si="141"/>
        <v>4081002</v>
      </c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769"/>
      <c r="AE107" s="762">
        <f>AD107+R107</f>
        <v>4081002</v>
      </c>
    </row>
    <row r="108" spans="1:32" s="756" customFormat="1" ht="409.5">
      <c r="A108" s="769">
        <v>80</v>
      </c>
      <c r="B108" s="810">
        <v>9</v>
      </c>
      <c r="C108" s="813" t="s">
        <v>334</v>
      </c>
      <c r="D108" s="767" t="s">
        <v>1149</v>
      </c>
      <c r="E108" s="767" t="s">
        <v>927</v>
      </c>
      <c r="F108" s="125">
        <v>12</v>
      </c>
      <c r="G108" s="809">
        <v>12</v>
      </c>
      <c r="H108" s="810">
        <v>3</v>
      </c>
      <c r="I108" s="125"/>
      <c r="J108" s="126"/>
      <c r="K108" s="125"/>
      <c r="L108" s="125"/>
      <c r="M108" s="129"/>
      <c r="N108" s="129"/>
      <c r="O108" s="129"/>
      <c r="P108" s="129"/>
      <c r="Q108" s="811"/>
      <c r="R108" s="769"/>
      <c r="S108" s="787">
        <v>43500</v>
      </c>
      <c r="T108" s="767">
        <f t="shared" ref="T108" si="142">S108*F108*(G108+H108)</f>
        <v>7830000</v>
      </c>
      <c r="U108" s="787">
        <v>43500</v>
      </c>
      <c r="V108" s="767">
        <f>U108*F108*(G108+H108)</f>
        <v>7830000</v>
      </c>
      <c r="W108" s="787">
        <v>18500</v>
      </c>
      <c r="X108" s="767">
        <f>W108*(G108+H108)</f>
        <v>277500</v>
      </c>
      <c r="Y108" s="788">
        <v>450000</v>
      </c>
      <c r="Z108" s="767">
        <f>Y108*(G108+H108)</f>
        <v>6750000</v>
      </c>
      <c r="AA108" s="761">
        <f t="shared" ref="AA108" si="143">55000*(G108+H108)</f>
        <v>825000</v>
      </c>
      <c r="AB108" s="787"/>
      <c r="AC108" s="761">
        <f>45000*G108</f>
        <v>540000</v>
      </c>
      <c r="AD108" s="762">
        <f>T108+V108+X108+Z108+AA108+AB108+AC108</f>
        <v>24052500</v>
      </c>
      <c r="AE108" s="762">
        <f t="shared" si="129"/>
        <v>24052500</v>
      </c>
    </row>
    <row r="109" spans="1:32" s="756" customFormat="1" ht="76.5">
      <c r="A109" s="769">
        <v>81</v>
      </c>
      <c r="B109" s="810">
        <v>10</v>
      </c>
      <c r="C109" s="908" t="s">
        <v>1117</v>
      </c>
      <c r="D109" s="767" t="s">
        <v>414</v>
      </c>
      <c r="E109" s="125" t="s">
        <v>387</v>
      </c>
      <c r="F109" s="125">
        <v>14</v>
      </c>
      <c r="G109" s="809">
        <v>15</v>
      </c>
      <c r="H109" s="810">
        <v>2</v>
      </c>
      <c r="I109" s="125">
        <v>8500</v>
      </c>
      <c r="J109" s="768">
        <f>(G109+H109)*I109*F109</f>
        <v>2023000</v>
      </c>
      <c r="K109" s="125">
        <v>8625</v>
      </c>
      <c r="L109" s="767">
        <f>K109*F109*G109</f>
        <v>1811250</v>
      </c>
      <c r="M109" s="769">
        <f>3692*2</f>
        <v>7384</v>
      </c>
      <c r="N109" s="769">
        <f t="shared" ref="N109" si="144">M109*H109*F109</f>
        <v>206752</v>
      </c>
      <c r="O109" s="129">
        <v>10000</v>
      </c>
      <c r="P109" s="129">
        <f t="shared" ref="P109" si="145">O109*H109*2</f>
        <v>40000</v>
      </c>
      <c r="Q109" s="811"/>
      <c r="R109" s="769">
        <f>SUM(J109+L109+N109+P109)+Q109</f>
        <v>4081002</v>
      </c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769"/>
      <c r="AE109" s="762">
        <f t="shared" si="129"/>
        <v>4081002</v>
      </c>
      <c r="AF109" s="865"/>
    </row>
    <row r="110" spans="1:32" s="756" customFormat="1" ht="211.5">
      <c r="A110" s="769">
        <v>82</v>
      </c>
      <c r="B110" s="810">
        <v>11</v>
      </c>
      <c r="C110" s="905" t="s">
        <v>304</v>
      </c>
      <c r="D110" s="767" t="s">
        <v>1150</v>
      </c>
      <c r="E110" s="767" t="s">
        <v>1076</v>
      </c>
      <c r="F110" s="125">
        <v>12</v>
      </c>
      <c r="G110" s="809">
        <v>12</v>
      </c>
      <c r="H110" s="810">
        <v>2</v>
      </c>
      <c r="I110" s="125"/>
      <c r="J110" s="126"/>
      <c r="K110" s="125"/>
      <c r="L110" s="125"/>
      <c r="M110" s="129"/>
      <c r="N110" s="129"/>
      <c r="O110" s="129"/>
      <c r="P110" s="129"/>
      <c r="Q110" s="811"/>
      <c r="R110" s="769"/>
      <c r="S110" s="787">
        <v>17500</v>
      </c>
      <c r="T110" s="767">
        <f>S110*F110*(G110+H110)</f>
        <v>2940000</v>
      </c>
      <c r="U110" s="787">
        <v>17500</v>
      </c>
      <c r="V110" s="767">
        <f>U110*F110*(G110+H110)</f>
        <v>2940000</v>
      </c>
      <c r="W110" s="787">
        <v>8400</v>
      </c>
      <c r="X110" s="767">
        <f>W110*(G110+H110)</f>
        <v>117600</v>
      </c>
      <c r="Y110" s="788">
        <v>250000</v>
      </c>
      <c r="Z110" s="767">
        <f>Y110*(G110+H110)</f>
        <v>3500000</v>
      </c>
      <c r="AA110" s="761">
        <f t="shared" ref="AA110" si="146">55000*(G110+H110)</f>
        <v>770000</v>
      </c>
      <c r="AB110" s="787"/>
      <c r="AC110" s="787">
        <v>700000</v>
      </c>
      <c r="AD110" s="762">
        <f>T110+V110+X110+Z110+AA110+AB110+AC110</f>
        <v>10967600</v>
      </c>
      <c r="AE110" s="762">
        <f t="shared" si="129"/>
        <v>10967600</v>
      </c>
    </row>
    <row r="111" spans="1:32" s="756" customFormat="1" ht="76.5">
      <c r="A111" s="825"/>
      <c r="B111" s="1669" t="s">
        <v>38</v>
      </c>
      <c r="C111" s="1669"/>
      <c r="D111" s="1669"/>
      <c r="E111" s="1669"/>
      <c r="F111" s="826"/>
      <c r="G111" s="826"/>
      <c r="H111" s="780"/>
      <c r="I111" s="870"/>
      <c r="J111" s="870">
        <f>SUM(J101:J110)</f>
        <v>13872000</v>
      </c>
      <c r="K111" s="870"/>
      <c r="L111" s="870">
        <f>SUM(L101:L110)</f>
        <v>12420000</v>
      </c>
      <c r="M111" s="870"/>
      <c r="N111" s="870">
        <f>SUM(N101:N110)</f>
        <v>1417728</v>
      </c>
      <c r="O111" s="869"/>
      <c r="P111" s="870">
        <f>SUM(P101:P110)</f>
        <v>240000</v>
      </c>
      <c r="Q111" s="869"/>
      <c r="R111" s="870">
        <f>SUM(R100:R110)</f>
        <v>33185302</v>
      </c>
      <c r="S111" s="869"/>
      <c r="T111" s="870">
        <f>SUM(T101:T110)</f>
        <v>19665000</v>
      </c>
      <c r="U111" s="869"/>
      <c r="V111" s="870">
        <f>SUM(V101:V110)</f>
        <v>19665000</v>
      </c>
      <c r="W111" s="869"/>
      <c r="X111" s="870">
        <f>SUM(X101:X110)</f>
        <v>1127100</v>
      </c>
      <c r="Y111" s="869"/>
      <c r="Z111" s="870">
        <f t="shared" ref="Z111:AD111" si="147">SUM(Z101:Z110)</f>
        <v>22250000</v>
      </c>
      <c r="AA111" s="870">
        <f t="shared" si="147"/>
        <v>3245000</v>
      </c>
      <c r="AB111" s="870">
        <f t="shared" si="147"/>
        <v>0</v>
      </c>
      <c r="AC111" s="870">
        <f t="shared" si="147"/>
        <v>2320000</v>
      </c>
      <c r="AD111" s="870">
        <f t="shared" si="147"/>
        <v>68272100</v>
      </c>
      <c r="AE111" s="870">
        <f>SUM(AE100:AE110)</f>
        <v>101457402</v>
      </c>
      <c r="AF111" s="756" t="e">
        <f>AE111-#REF!-#REF!</f>
        <v>#REF!</v>
      </c>
    </row>
    <row r="112" spans="1:32" s="912" customFormat="1" ht="64.5">
      <c r="A112" s="1663" t="s">
        <v>1159</v>
      </c>
      <c r="B112" s="1663"/>
      <c r="C112" s="1663"/>
      <c r="D112" s="1663"/>
      <c r="E112" s="1663"/>
      <c r="F112" s="1663"/>
      <c r="G112" s="1663"/>
      <c r="H112" s="1663"/>
      <c r="I112" s="1663"/>
      <c r="J112" s="1663"/>
      <c r="K112" s="1663"/>
      <c r="L112" s="1663"/>
      <c r="M112" s="1663"/>
      <c r="N112" s="1663"/>
      <c r="O112" s="1663"/>
      <c r="P112" s="1663"/>
      <c r="Q112" s="1663"/>
      <c r="R112" s="1663"/>
      <c r="S112" s="1663"/>
      <c r="T112" s="1663"/>
      <c r="U112" s="1663"/>
      <c r="V112" s="1663"/>
      <c r="W112" s="1663"/>
      <c r="X112" s="1663"/>
      <c r="Y112" s="1663"/>
      <c r="Z112" s="1663"/>
      <c r="AA112" s="1663"/>
      <c r="AB112" s="1663"/>
      <c r="AC112" s="1663"/>
      <c r="AD112" s="1663"/>
      <c r="AE112" s="1663"/>
    </row>
    <row r="113" spans="1:39" s="756" customFormat="1" ht="141">
      <c r="A113" s="129">
        <v>83</v>
      </c>
      <c r="B113" s="810">
        <v>1</v>
      </c>
      <c r="C113" s="908" t="s">
        <v>1123</v>
      </c>
      <c r="D113" s="767" t="s">
        <v>1131</v>
      </c>
      <c r="E113" s="767" t="s">
        <v>1085</v>
      </c>
      <c r="F113" s="125">
        <v>18</v>
      </c>
      <c r="G113" s="809">
        <v>13</v>
      </c>
      <c r="H113" s="810">
        <v>2</v>
      </c>
      <c r="I113" s="125">
        <v>8500</v>
      </c>
      <c r="J113" s="768">
        <f t="shared" ref="J113:J115" si="148">(G113+H113)*I113*F113</f>
        <v>2295000</v>
      </c>
      <c r="K113" s="125">
        <v>8625</v>
      </c>
      <c r="L113" s="767">
        <f t="shared" ref="L113:L115" si="149">K113*F113*G113</f>
        <v>2018250</v>
      </c>
      <c r="M113" s="769">
        <f>3692*2</f>
        <v>7384</v>
      </c>
      <c r="N113" s="769">
        <f t="shared" ref="N113:N115" si="150">M113*H113*F113</f>
        <v>265824</v>
      </c>
      <c r="O113" s="129">
        <v>10000</v>
      </c>
      <c r="P113" s="129">
        <f t="shared" ref="P113:P115" si="151">O113*H113*2</f>
        <v>40000</v>
      </c>
      <c r="Q113" s="125">
        <v>122950</v>
      </c>
      <c r="R113" s="769">
        <f>SUM(J113+L113+N113+P113)+Q113</f>
        <v>4742024</v>
      </c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769"/>
      <c r="AE113" s="782">
        <f>R113+AD113</f>
        <v>4742024</v>
      </c>
      <c r="AM113" s="865">
        <f>AE113+AE100</f>
        <v>9977598</v>
      </c>
    </row>
    <row r="114" spans="1:39" s="756" customFormat="1" ht="211.5">
      <c r="A114" s="129">
        <v>83</v>
      </c>
      <c r="B114" s="810">
        <v>2</v>
      </c>
      <c r="C114" s="908" t="s">
        <v>1126</v>
      </c>
      <c r="D114" s="767" t="s">
        <v>1151</v>
      </c>
      <c r="E114" s="767" t="s">
        <v>1091</v>
      </c>
      <c r="F114" s="125">
        <v>18</v>
      </c>
      <c r="G114" s="809">
        <v>15</v>
      </c>
      <c r="H114" s="810">
        <v>2</v>
      </c>
      <c r="I114" s="125">
        <v>8500</v>
      </c>
      <c r="J114" s="768">
        <f t="shared" si="148"/>
        <v>2601000</v>
      </c>
      <c r="K114" s="125">
        <v>8625</v>
      </c>
      <c r="L114" s="767">
        <f t="shared" si="149"/>
        <v>2328750</v>
      </c>
      <c r="M114" s="769">
        <f t="shared" ref="M114:M124" si="152">3692*2</f>
        <v>7384</v>
      </c>
      <c r="N114" s="769">
        <f t="shared" si="150"/>
        <v>265824</v>
      </c>
      <c r="O114" s="129">
        <v>10000</v>
      </c>
      <c r="P114" s="129">
        <f t="shared" si="151"/>
        <v>40000</v>
      </c>
      <c r="Q114" s="811"/>
      <c r="R114" s="769">
        <f>SUM(J114+L114+N114+P114)+Q114</f>
        <v>5235574</v>
      </c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769"/>
      <c r="AE114" s="782">
        <f>R114+AD114</f>
        <v>5235574</v>
      </c>
    </row>
    <row r="115" spans="1:39" s="756" customFormat="1" ht="211.5">
      <c r="A115" s="129">
        <v>84</v>
      </c>
      <c r="B115" s="810">
        <v>3</v>
      </c>
      <c r="C115" s="813" t="s">
        <v>330</v>
      </c>
      <c r="D115" s="125" t="s">
        <v>1146</v>
      </c>
      <c r="E115" s="125" t="s">
        <v>387</v>
      </c>
      <c r="F115" s="125">
        <v>18</v>
      </c>
      <c r="G115" s="809">
        <v>15</v>
      </c>
      <c r="H115" s="810">
        <v>2</v>
      </c>
      <c r="I115" s="125">
        <v>8500</v>
      </c>
      <c r="J115" s="768">
        <f t="shared" si="148"/>
        <v>2601000</v>
      </c>
      <c r="K115" s="125">
        <v>8625</v>
      </c>
      <c r="L115" s="767">
        <f t="shared" si="149"/>
        <v>2328750</v>
      </c>
      <c r="M115" s="769">
        <f t="shared" si="152"/>
        <v>7384</v>
      </c>
      <c r="N115" s="769">
        <f t="shared" si="150"/>
        <v>265824</v>
      </c>
      <c r="O115" s="129">
        <v>10000</v>
      </c>
      <c r="P115" s="129">
        <f t="shared" si="151"/>
        <v>40000</v>
      </c>
      <c r="Q115" s="811"/>
      <c r="R115" s="769">
        <f>SUM(J115+L115+N115+P115)+Q115</f>
        <v>5235574</v>
      </c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769"/>
      <c r="AE115" s="782">
        <f t="shared" ref="AE115:AE125" si="153">R115+AD115</f>
        <v>5235574</v>
      </c>
    </row>
    <row r="116" spans="1:39" s="756" customFormat="1" ht="211.5">
      <c r="A116" s="773">
        <v>85</v>
      </c>
      <c r="B116" s="810">
        <v>4</v>
      </c>
      <c r="C116" s="905" t="s">
        <v>304</v>
      </c>
      <c r="D116" s="125" t="s">
        <v>1146</v>
      </c>
      <c r="E116" s="767" t="s">
        <v>415</v>
      </c>
      <c r="F116" s="125">
        <v>10</v>
      </c>
      <c r="G116" s="809">
        <v>12</v>
      </c>
      <c r="H116" s="810">
        <v>2</v>
      </c>
      <c r="I116" s="125"/>
      <c r="J116" s="126"/>
      <c r="K116" s="125"/>
      <c r="L116" s="125"/>
      <c r="M116" s="129"/>
      <c r="N116" s="129"/>
      <c r="O116" s="129"/>
      <c r="P116" s="129"/>
      <c r="Q116" s="811"/>
      <c r="R116" s="769"/>
      <c r="S116" s="787">
        <v>17500</v>
      </c>
      <c r="T116" s="767">
        <f t="shared" ref="T116" si="154">S116*F116*(G116+H116)</f>
        <v>2450000</v>
      </c>
      <c r="U116" s="787">
        <v>17500</v>
      </c>
      <c r="V116" s="767">
        <f>U116*F116*(G116+H116)</f>
        <v>2450000</v>
      </c>
      <c r="W116" s="787">
        <v>13200</v>
      </c>
      <c r="X116" s="767">
        <f>W116*(G116+H116)</f>
        <v>184800</v>
      </c>
      <c r="Y116" s="788">
        <v>350000</v>
      </c>
      <c r="Z116" s="767">
        <f>Y116*(G116+H116)</f>
        <v>4900000</v>
      </c>
      <c r="AA116" s="761">
        <f t="shared" ref="AA116" si="155">55000*(G116+H116)</f>
        <v>770000</v>
      </c>
      <c r="AB116" s="787"/>
      <c r="AC116" s="787">
        <v>340044</v>
      </c>
      <c r="AD116" s="762">
        <f>T116+V116+X116+Z116+AA116+AB116+AC116</f>
        <v>11094844</v>
      </c>
      <c r="AE116" s="782">
        <f t="shared" si="153"/>
        <v>11094844</v>
      </c>
      <c r="AF116" s="865"/>
    </row>
    <row r="117" spans="1:39" s="756" customFormat="1" ht="141">
      <c r="A117" s="773">
        <v>86</v>
      </c>
      <c r="B117" s="810">
        <v>5</v>
      </c>
      <c r="C117" s="813" t="s">
        <v>1118</v>
      </c>
      <c r="D117" s="125" t="s">
        <v>340</v>
      </c>
      <c r="E117" s="125" t="s">
        <v>1095</v>
      </c>
      <c r="F117" s="125">
        <v>18</v>
      </c>
      <c r="G117" s="809">
        <v>15</v>
      </c>
      <c r="H117" s="810">
        <v>2</v>
      </c>
      <c r="I117" s="125">
        <v>8500</v>
      </c>
      <c r="J117" s="768">
        <f t="shared" ref="J117:J118" si="156">(G117+H117)*I117*F117</f>
        <v>2601000</v>
      </c>
      <c r="K117" s="125">
        <v>8625</v>
      </c>
      <c r="L117" s="767">
        <f>K117*F117*G117</f>
        <v>2328750</v>
      </c>
      <c r="M117" s="769">
        <f t="shared" si="152"/>
        <v>7384</v>
      </c>
      <c r="N117" s="769">
        <f t="shared" ref="N117:N118" si="157">M117*H117*F117</f>
        <v>265824</v>
      </c>
      <c r="O117" s="129">
        <v>10000</v>
      </c>
      <c r="P117" s="129">
        <f t="shared" ref="P117:P118" si="158">O117*H117*2</f>
        <v>40000</v>
      </c>
      <c r="Q117" s="811"/>
      <c r="R117" s="769">
        <f t="shared" ref="R117:R118" si="159">SUM(J117+L117+N117+P117)+Q117</f>
        <v>5235574</v>
      </c>
      <c r="S117" s="787"/>
      <c r="T117" s="125"/>
      <c r="U117" s="787"/>
      <c r="V117" s="125"/>
      <c r="W117" s="787"/>
      <c r="X117" s="125"/>
      <c r="Y117" s="787"/>
      <c r="Z117" s="125"/>
      <c r="AA117" s="787"/>
      <c r="AB117" s="787"/>
      <c r="AC117" s="787"/>
      <c r="AD117" s="789"/>
      <c r="AE117" s="782">
        <f t="shared" si="153"/>
        <v>5235574</v>
      </c>
    </row>
    <row r="118" spans="1:39" s="756" customFormat="1" ht="211.5">
      <c r="A118" s="773">
        <v>87</v>
      </c>
      <c r="B118" s="810">
        <v>6</v>
      </c>
      <c r="C118" s="813" t="s">
        <v>1119</v>
      </c>
      <c r="D118" s="125" t="s">
        <v>308</v>
      </c>
      <c r="E118" s="125" t="s">
        <v>1087</v>
      </c>
      <c r="F118" s="125">
        <v>18</v>
      </c>
      <c r="G118" s="809">
        <v>15</v>
      </c>
      <c r="H118" s="810">
        <v>2</v>
      </c>
      <c r="I118" s="125">
        <v>8500</v>
      </c>
      <c r="J118" s="768">
        <f t="shared" si="156"/>
        <v>2601000</v>
      </c>
      <c r="K118" s="125">
        <v>8625</v>
      </c>
      <c r="L118" s="767">
        <f>K118*F118*G118</f>
        <v>2328750</v>
      </c>
      <c r="M118" s="769">
        <f t="shared" si="152"/>
        <v>7384</v>
      </c>
      <c r="N118" s="769">
        <f t="shared" si="157"/>
        <v>265824</v>
      </c>
      <c r="O118" s="129">
        <v>10000</v>
      </c>
      <c r="P118" s="129">
        <f t="shared" si="158"/>
        <v>40000</v>
      </c>
      <c r="Q118" s="811"/>
      <c r="R118" s="769">
        <f t="shared" si="159"/>
        <v>5235574</v>
      </c>
      <c r="S118" s="787"/>
      <c r="T118" s="125"/>
      <c r="U118" s="787"/>
      <c r="V118" s="125"/>
      <c r="W118" s="787"/>
      <c r="X118" s="125"/>
      <c r="Y118" s="787"/>
      <c r="Z118" s="125"/>
      <c r="AA118" s="787"/>
      <c r="AB118" s="787"/>
      <c r="AC118" s="787"/>
      <c r="AD118" s="789"/>
      <c r="AE118" s="782">
        <f t="shared" si="153"/>
        <v>5235574</v>
      </c>
    </row>
    <row r="119" spans="1:39" s="756" customFormat="1" ht="211.5">
      <c r="A119" s="773">
        <v>88</v>
      </c>
      <c r="B119" s="810">
        <v>7</v>
      </c>
      <c r="C119" s="813" t="s">
        <v>390</v>
      </c>
      <c r="D119" s="125" t="s">
        <v>359</v>
      </c>
      <c r="E119" s="767" t="s">
        <v>1036</v>
      </c>
      <c r="F119" s="125">
        <v>10</v>
      </c>
      <c r="G119" s="809">
        <v>12</v>
      </c>
      <c r="H119" s="810">
        <v>2</v>
      </c>
      <c r="I119" s="125"/>
      <c r="J119" s="126"/>
      <c r="K119" s="125"/>
      <c r="L119" s="125"/>
      <c r="M119" s="129"/>
      <c r="N119" s="129"/>
      <c r="O119" s="129"/>
      <c r="P119" s="129"/>
      <c r="Q119" s="811"/>
      <c r="R119" s="769"/>
      <c r="S119" s="787">
        <v>43500</v>
      </c>
      <c r="T119" s="767">
        <f t="shared" ref="T119" si="160">S119*F119*(G119+H119)</f>
        <v>6090000</v>
      </c>
      <c r="U119" s="787">
        <v>43500</v>
      </c>
      <c r="V119" s="767">
        <f>U119*F119*(G119+H119)</f>
        <v>6090000</v>
      </c>
      <c r="W119" s="787">
        <v>14700</v>
      </c>
      <c r="X119" s="767">
        <f>W119*(G119+H119)</f>
        <v>205800</v>
      </c>
      <c r="Y119" s="788">
        <v>450000</v>
      </c>
      <c r="Z119" s="767">
        <f>Y119*(G119+H119)</f>
        <v>6300000</v>
      </c>
      <c r="AA119" s="761">
        <f t="shared" ref="AA119" si="161">55000*(G119+H119)</f>
        <v>770000</v>
      </c>
      <c r="AB119" s="787"/>
      <c r="AC119" s="787">
        <f>500000-68496</f>
        <v>431504</v>
      </c>
      <c r="AD119" s="762">
        <f>T119+V119+X119+Z119+AA119+AB119+AC119</f>
        <v>19887304</v>
      </c>
      <c r="AE119" s="782">
        <f>R119+AD119</f>
        <v>19887304</v>
      </c>
    </row>
    <row r="120" spans="1:39" s="756" customFormat="1" ht="141">
      <c r="A120" s="773">
        <v>89</v>
      </c>
      <c r="B120" s="810">
        <v>8</v>
      </c>
      <c r="C120" s="813" t="s">
        <v>331</v>
      </c>
      <c r="D120" s="767" t="s">
        <v>310</v>
      </c>
      <c r="E120" s="125" t="s">
        <v>1085</v>
      </c>
      <c r="F120" s="125">
        <v>18</v>
      </c>
      <c r="G120" s="809">
        <v>15</v>
      </c>
      <c r="H120" s="810">
        <v>2</v>
      </c>
      <c r="I120" s="125">
        <v>8500</v>
      </c>
      <c r="J120" s="768">
        <f>(G120+H120)*I120*F120</f>
        <v>2601000</v>
      </c>
      <c r="K120" s="125">
        <v>8625</v>
      </c>
      <c r="L120" s="767">
        <f t="shared" ref="L120:L121" si="162">K120*F120*G120</f>
        <v>2328750</v>
      </c>
      <c r="M120" s="769">
        <f t="shared" si="152"/>
        <v>7384</v>
      </c>
      <c r="N120" s="769">
        <f t="shared" ref="N120:N121" si="163">M120*H120*F120</f>
        <v>265824</v>
      </c>
      <c r="O120" s="129">
        <v>10000</v>
      </c>
      <c r="P120" s="129">
        <f t="shared" ref="P120:P121" si="164">O120*H120*2</f>
        <v>40000</v>
      </c>
      <c r="Q120" s="811"/>
      <c r="R120" s="769">
        <f t="shared" ref="R120:R121" si="165">SUM(J120+L120+N120+P120)+Q120</f>
        <v>5235574</v>
      </c>
      <c r="S120" s="787"/>
      <c r="T120" s="125"/>
      <c r="U120" s="787"/>
      <c r="V120" s="125"/>
      <c r="W120" s="787"/>
      <c r="X120" s="125"/>
      <c r="Y120" s="787"/>
      <c r="Z120" s="125"/>
      <c r="AA120" s="787"/>
      <c r="AB120" s="787"/>
      <c r="AC120" s="787"/>
      <c r="AD120" s="789"/>
      <c r="AE120" s="782">
        <f t="shared" si="153"/>
        <v>5235574</v>
      </c>
    </row>
    <row r="121" spans="1:39" s="756" customFormat="1" ht="141">
      <c r="A121" s="773">
        <v>90</v>
      </c>
      <c r="B121" s="810">
        <v>9</v>
      </c>
      <c r="C121" s="813" t="s">
        <v>333</v>
      </c>
      <c r="D121" s="767" t="s">
        <v>361</v>
      </c>
      <c r="E121" s="125" t="s">
        <v>1095</v>
      </c>
      <c r="F121" s="125">
        <v>18</v>
      </c>
      <c r="G121" s="809">
        <v>15</v>
      </c>
      <c r="H121" s="810">
        <v>3</v>
      </c>
      <c r="I121" s="125">
        <v>8500</v>
      </c>
      <c r="J121" s="768">
        <f>(G121+H121)*I121*F121</f>
        <v>2754000</v>
      </c>
      <c r="K121" s="125">
        <v>8625</v>
      </c>
      <c r="L121" s="767">
        <f t="shared" si="162"/>
        <v>2328750</v>
      </c>
      <c r="M121" s="769">
        <f t="shared" si="152"/>
        <v>7384</v>
      </c>
      <c r="N121" s="769">
        <f t="shared" si="163"/>
        <v>398736</v>
      </c>
      <c r="O121" s="129">
        <v>10000</v>
      </c>
      <c r="P121" s="129">
        <f t="shared" si="164"/>
        <v>60000</v>
      </c>
      <c r="Q121" s="811"/>
      <c r="R121" s="769">
        <f t="shared" si="165"/>
        <v>5541486</v>
      </c>
      <c r="S121" s="787"/>
      <c r="T121" s="125"/>
      <c r="U121" s="787"/>
      <c r="V121" s="125"/>
      <c r="W121" s="787"/>
      <c r="X121" s="125"/>
      <c r="Y121" s="787"/>
      <c r="Z121" s="125"/>
      <c r="AA121" s="787"/>
      <c r="AB121" s="787"/>
      <c r="AC121" s="787"/>
      <c r="AD121" s="789"/>
      <c r="AE121" s="782">
        <f t="shared" si="153"/>
        <v>5541486</v>
      </c>
    </row>
    <row r="122" spans="1:39" s="756" customFormat="1" ht="141">
      <c r="A122" s="773">
        <v>91</v>
      </c>
      <c r="B122" s="810">
        <v>10</v>
      </c>
      <c r="C122" s="813" t="s">
        <v>334</v>
      </c>
      <c r="D122" s="767" t="s">
        <v>361</v>
      </c>
      <c r="E122" s="767" t="s">
        <v>904</v>
      </c>
      <c r="F122" s="125">
        <v>8</v>
      </c>
      <c r="G122" s="809">
        <v>12</v>
      </c>
      <c r="H122" s="810">
        <v>2</v>
      </c>
      <c r="I122" s="125"/>
      <c r="J122" s="126"/>
      <c r="K122" s="125"/>
      <c r="L122" s="125"/>
      <c r="M122" s="129"/>
      <c r="N122" s="129"/>
      <c r="O122" s="129"/>
      <c r="P122" s="129"/>
      <c r="Q122" s="811"/>
      <c r="R122" s="769"/>
      <c r="S122" s="787">
        <v>43500</v>
      </c>
      <c r="T122" s="767">
        <f t="shared" ref="T122" si="166">S122*F122*(G122+H122)</f>
        <v>4872000</v>
      </c>
      <c r="U122" s="787">
        <v>43500</v>
      </c>
      <c r="V122" s="767">
        <f>U122*F122*(G122+H122)</f>
        <v>4872000</v>
      </c>
      <c r="W122" s="787">
        <v>12600</v>
      </c>
      <c r="X122" s="767">
        <f>W122*(G122+H122)</f>
        <v>176400</v>
      </c>
      <c r="Y122" s="788">
        <v>350000</v>
      </c>
      <c r="Z122" s="767">
        <f>Y122*(G122+H122)</f>
        <v>4900000</v>
      </c>
      <c r="AA122" s="788"/>
      <c r="AB122" s="787"/>
      <c r="AC122" s="787">
        <f>257068+93550+3550</f>
        <v>354168</v>
      </c>
      <c r="AD122" s="762">
        <f>T122+V122+X122+Z122+AA122+AB122+AC122</f>
        <v>15174568</v>
      </c>
      <c r="AE122" s="782">
        <f t="shared" si="153"/>
        <v>15174568</v>
      </c>
    </row>
    <row r="123" spans="1:39" s="756" customFormat="1" ht="211.5">
      <c r="A123" s="773">
        <v>92</v>
      </c>
      <c r="B123" s="810">
        <v>11</v>
      </c>
      <c r="C123" s="813" t="s">
        <v>1127</v>
      </c>
      <c r="D123" s="125" t="s">
        <v>308</v>
      </c>
      <c r="E123" s="125" t="s">
        <v>1087</v>
      </c>
      <c r="F123" s="125">
        <v>18</v>
      </c>
      <c r="G123" s="809">
        <v>15</v>
      </c>
      <c r="H123" s="810">
        <v>2</v>
      </c>
      <c r="I123" s="125">
        <v>8500</v>
      </c>
      <c r="J123" s="768">
        <f t="shared" ref="J123:J124" si="167">(G123+H123)*I123*F123</f>
        <v>2601000</v>
      </c>
      <c r="K123" s="125">
        <v>8625</v>
      </c>
      <c r="L123" s="767">
        <f t="shared" ref="L123:L124" si="168">K123*F123*G123</f>
        <v>2328750</v>
      </c>
      <c r="M123" s="769">
        <f t="shared" si="152"/>
        <v>7384</v>
      </c>
      <c r="N123" s="769">
        <f t="shared" ref="N123:N124" si="169">M123*H123*F123</f>
        <v>265824</v>
      </c>
      <c r="O123" s="129">
        <v>10000</v>
      </c>
      <c r="P123" s="129">
        <f t="shared" ref="P123:P124" si="170">O123*H123*2</f>
        <v>40000</v>
      </c>
      <c r="Q123" s="811"/>
      <c r="R123" s="769">
        <f t="shared" ref="R123:R124" si="171">SUM(J123+L123+N123+P123)+Q123</f>
        <v>5235574</v>
      </c>
      <c r="S123" s="787"/>
      <c r="T123" s="125"/>
      <c r="U123" s="787"/>
      <c r="V123" s="125"/>
      <c r="W123" s="787"/>
      <c r="X123" s="125"/>
      <c r="Y123" s="787"/>
      <c r="Z123" s="125"/>
      <c r="AA123" s="787"/>
      <c r="AB123" s="787"/>
      <c r="AC123" s="787"/>
      <c r="AD123" s="789"/>
      <c r="AE123" s="782">
        <f t="shared" si="153"/>
        <v>5235574</v>
      </c>
    </row>
    <row r="124" spans="1:39" s="756" customFormat="1" ht="141">
      <c r="A124" s="773">
        <v>93</v>
      </c>
      <c r="B124" s="810">
        <v>12</v>
      </c>
      <c r="C124" s="813" t="s">
        <v>1128</v>
      </c>
      <c r="D124" s="125" t="s">
        <v>332</v>
      </c>
      <c r="E124" s="125" t="s">
        <v>1096</v>
      </c>
      <c r="F124" s="125">
        <v>18</v>
      </c>
      <c r="G124" s="809">
        <v>15</v>
      </c>
      <c r="H124" s="810">
        <v>2</v>
      </c>
      <c r="I124" s="125">
        <v>8500</v>
      </c>
      <c r="J124" s="768">
        <f t="shared" si="167"/>
        <v>2601000</v>
      </c>
      <c r="K124" s="125">
        <v>8625</v>
      </c>
      <c r="L124" s="767">
        <f t="shared" si="168"/>
        <v>2328750</v>
      </c>
      <c r="M124" s="769">
        <f t="shared" si="152"/>
        <v>7384</v>
      </c>
      <c r="N124" s="769">
        <f t="shared" si="169"/>
        <v>265824</v>
      </c>
      <c r="O124" s="129">
        <v>10000</v>
      </c>
      <c r="P124" s="129">
        <f t="shared" si="170"/>
        <v>40000</v>
      </c>
      <c r="Q124" s="811"/>
      <c r="R124" s="769">
        <f t="shared" si="171"/>
        <v>5235574</v>
      </c>
      <c r="S124" s="787"/>
      <c r="T124" s="125"/>
      <c r="U124" s="787"/>
      <c r="V124" s="125"/>
      <c r="W124" s="787"/>
      <c r="X124" s="125"/>
      <c r="Y124" s="787"/>
      <c r="Z124" s="125"/>
      <c r="AA124" s="787"/>
      <c r="AB124" s="787"/>
      <c r="AC124" s="787"/>
      <c r="AD124" s="789"/>
      <c r="AE124" s="782">
        <f>R124+AD124</f>
        <v>5235574</v>
      </c>
    </row>
    <row r="125" spans="1:39" s="756" customFormat="1" ht="141">
      <c r="A125" s="773">
        <v>94</v>
      </c>
      <c r="B125" s="810">
        <v>13</v>
      </c>
      <c r="C125" s="813" t="s">
        <v>1099</v>
      </c>
      <c r="D125" s="125" t="s">
        <v>332</v>
      </c>
      <c r="E125" s="767" t="s">
        <v>1077</v>
      </c>
      <c r="F125" s="125">
        <v>10</v>
      </c>
      <c r="G125" s="809">
        <v>12</v>
      </c>
      <c r="H125" s="810">
        <v>2</v>
      </c>
      <c r="I125" s="125"/>
      <c r="J125" s="126"/>
      <c r="K125" s="125"/>
      <c r="L125" s="125"/>
      <c r="M125" s="129"/>
      <c r="N125" s="129"/>
      <c r="O125" s="129"/>
      <c r="P125" s="129"/>
      <c r="Q125" s="811"/>
      <c r="R125" s="769"/>
      <c r="S125" s="787">
        <v>43500</v>
      </c>
      <c r="T125" s="767">
        <f t="shared" ref="T125" si="172">S125*F125*(G125+H125)</f>
        <v>6090000</v>
      </c>
      <c r="U125" s="787">
        <v>43500</v>
      </c>
      <c r="V125" s="767">
        <f>U125*F125*(G125+H125)</f>
        <v>6090000</v>
      </c>
      <c r="W125" s="787">
        <v>14700</v>
      </c>
      <c r="X125" s="767">
        <f>W125*(G125+H125)</f>
        <v>205800</v>
      </c>
      <c r="Y125" s="788">
        <v>430000</v>
      </c>
      <c r="Z125" s="767">
        <f>Y125*(G125+H125)</f>
        <v>6020000</v>
      </c>
      <c r="AA125" s="761">
        <f t="shared" ref="AA125" si="173">55000*(G125+H125)</f>
        <v>770000</v>
      </c>
      <c r="AB125" s="787"/>
      <c r="AC125" s="787">
        <f>280000+127782+24569-14000-11000</f>
        <v>407351</v>
      </c>
      <c r="AD125" s="762">
        <f>T125+V125+X125+Z125+AA125+AB125+AC125</f>
        <v>19583151</v>
      </c>
      <c r="AE125" s="782">
        <f t="shared" si="153"/>
        <v>19583151</v>
      </c>
    </row>
    <row r="126" spans="1:39" s="756" customFormat="1" ht="78.75" customHeight="1">
      <c r="A126" s="1664" t="s">
        <v>38</v>
      </c>
      <c r="B126" s="1664"/>
      <c r="C126" s="1664"/>
      <c r="D126" s="1664"/>
      <c r="E126" s="1664"/>
      <c r="F126" s="1664"/>
      <c r="G126" s="1664"/>
      <c r="H126" s="1664"/>
      <c r="I126" s="781"/>
      <c r="J126" s="781">
        <f>SUM(J114:J125)</f>
        <v>20961000</v>
      </c>
      <c r="K126" s="781"/>
      <c r="L126" s="781">
        <f>SUM(L114:L125)</f>
        <v>18630000</v>
      </c>
      <c r="M126" s="781"/>
      <c r="N126" s="781">
        <f>SUM(N114:N125)</f>
        <v>2259504</v>
      </c>
      <c r="O126" s="781"/>
      <c r="P126" s="781">
        <f>SUM(P114:P125)</f>
        <v>340000</v>
      </c>
      <c r="Q126" s="781"/>
      <c r="R126" s="781">
        <f>SUM(R113:R125)</f>
        <v>46932528</v>
      </c>
      <c r="S126" s="781"/>
      <c r="T126" s="781">
        <f>SUM(T114:T125)</f>
        <v>19502000</v>
      </c>
      <c r="U126" s="781"/>
      <c r="V126" s="781">
        <f>SUM(V114:V125)</f>
        <v>19502000</v>
      </c>
      <c r="W126" s="781"/>
      <c r="X126" s="781">
        <f>SUM(X114:X125)</f>
        <v>772800</v>
      </c>
      <c r="Y126" s="781"/>
      <c r="Z126" s="781">
        <f t="shared" ref="Z126:AA126" si="174">SUM(Z114:Z125)</f>
        <v>22120000</v>
      </c>
      <c r="AA126" s="781">
        <f t="shared" si="174"/>
        <v>2310000</v>
      </c>
      <c r="AB126" s="781"/>
      <c r="AC126" s="781">
        <f t="shared" ref="AC126:AD126" si="175">SUM(AC114:AC125)</f>
        <v>1533067</v>
      </c>
      <c r="AD126" s="781">
        <f t="shared" si="175"/>
        <v>65739867</v>
      </c>
      <c r="AE126" s="781">
        <f>SUM(AE113:AE125)</f>
        <v>112672395</v>
      </c>
      <c r="AF126" s="865" t="e">
        <f>AE126-#REF!-#REF!</f>
        <v>#REF!</v>
      </c>
    </row>
    <row r="127" spans="1:39" s="756" customFormat="1" ht="138" customHeight="1">
      <c r="A127" s="1658" t="s">
        <v>1152</v>
      </c>
      <c r="B127" s="1659"/>
      <c r="C127" s="1659"/>
      <c r="D127" s="1659"/>
      <c r="E127" s="1660"/>
      <c r="F127" s="829"/>
      <c r="G127" s="829"/>
      <c r="H127" s="829"/>
      <c r="I127" s="829"/>
      <c r="J127" s="830">
        <f>J15+J24+J38+J48+J57+J62+J70+J77+J88+J98+J111+J126</f>
        <v>106773600</v>
      </c>
      <c r="K127" s="830"/>
      <c r="L127" s="830">
        <f>L15+L24+L38+L48+L57+L62+L70+L77+L88+L98+L111+L126</f>
        <v>94552650</v>
      </c>
      <c r="M127" s="830"/>
      <c r="N127" s="830">
        <f>N15+N24+N38+N48+N57+N62+N70+N77+N88+N98+N111+N126</f>
        <v>11740560</v>
      </c>
      <c r="O127" s="830"/>
      <c r="P127" s="830">
        <f>P15+P24+P38+P48+P57+P62+P70+P77+P88+P98+P111+P126</f>
        <v>1860000</v>
      </c>
      <c r="Q127" s="830">
        <f>Q15+Q24+Q38+Q48+Q57+Q62+Q70+Q77+Q88+Q98+Q111+Q126</f>
        <v>277952</v>
      </c>
      <c r="R127" s="830">
        <f>R15+R24+R38+R48+R57+R62+R70+R77+R88+R98+R111+R126</f>
        <v>225182360</v>
      </c>
      <c r="S127" s="830"/>
      <c r="T127" s="830">
        <f>T15+T24+T38+T48+T57+T62+T70+T77+T88+T98+T111+T126</f>
        <v>255448160</v>
      </c>
      <c r="U127" s="830"/>
      <c r="V127" s="830">
        <f>V15+V24+V38+V48+V57+V62+V70+V77+V88+V98+V111+V126</f>
        <v>190171864</v>
      </c>
      <c r="W127" s="830"/>
      <c r="X127" s="830">
        <f>X15+X24+X38+X48+X57+X62+X70+X77+X88+X98+X111+X126</f>
        <v>9706400</v>
      </c>
      <c r="Y127" s="830"/>
      <c r="Z127" s="830">
        <f t="shared" ref="Z127:AE127" si="176">Z15+Z24+Z38+Z48+Z57+Z62+Z70+Z77+Z88+Z98+Z111+Z126</f>
        <v>291348000</v>
      </c>
      <c r="AA127" s="830">
        <f t="shared" si="176"/>
        <v>26400000</v>
      </c>
      <c r="AB127" s="830">
        <f t="shared" si="176"/>
        <v>0</v>
      </c>
      <c r="AC127" s="830">
        <f t="shared" si="176"/>
        <v>11720873</v>
      </c>
      <c r="AD127" s="830">
        <f t="shared" si="176"/>
        <v>784795297</v>
      </c>
      <c r="AE127" s="830">
        <f t="shared" si="176"/>
        <v>1009977657</v>
      </c>
    </row>
    <row r="128" spans="1:39">
      <c r="A128" s="814"/>
      <c r="B128" s="814"/>
      <c r="C128" s="814"/>
      <c r="D128" s="814"/>
      <c r="E128" s="814"/>
      <c r="F128" s="814"/>
      <c r="G128" s="814"/>
      <c r="H128" s="814"/>
      <c r="I128" s="814"/>
      <c r="J128" s="814"/>
      <c r="K128" s="814"/>
      <c r="L128" s="814"/>
      <c r="M128" s="814"/>
      <c r="N128" s="814"/>
      <c r="O128" s="814"/>
      <c r="P128" s="814"/>
      <c r="Q128" s="814"/>
      <c r="R128" s="814"/>
      <c r="S128" s="814"/>
      <c r="T128" s="814"/>
      <c r="U128" s="814"/>
      <c r="V128" s="814"/>
      <c r="W128" s="814"/>
      <c r="X128" s="814"/>
      <c r="Y128" s="814"/>
      <c r="Z128" s="814"/>
      <c r="AA128" s="814"/>
      <c r="AB128" s="814"/>
      <c r="AC128" s="814"/>
      <c r="AD128" s="814"/>
      <c r="AE128" s="814"/>
    </row>
    <row r="129" spans="31:32" s="828" customFormat="1" ht="64.5">
      <c r="AF129" s="827"/>
    </row>
    <row r="130" spans="31:32" s="828" customFormat="1" ht="64.5">
      <c r="AE130" s="827"/>
    </row>
    <row r="131" spans="31:32" s="828" customFormat="1" ht="64.5">
      <c r="AE131" s="827"/>
    </row>
    <row r="132" spans="31:32" s="828" customFormat="1" ht="64.5">
      <c r="AE132" s="827"/>
    </row>
    <row r="133" spans="31:32" s="828" customFormat="1" ht="64.5"/>
    <row r="134" spans="31:32" s="828" customFormat="1" ht="64.5"/>
    <row r="135" spans="31:32" s="828" customFormat="1" ht="64.5"/>
    <row r="136" spans="31:32" s="828" customFormat="1" ht="64.5">
      <c r="AE136" s="827"/>
    </row>
    <row r="137" spans="31:32" s="828" customFormat="1" ht="64.5"/>
    <row r="138" spans="31:32" s="828" customFormat="1" ht="64.5"/>
  </sheetData>
  <mergeCells count="49">
    <mergeCell ref="F4:F6"/>
    <mergeCell ref="G4:G6"/>
    <mergeCell ref="I4:Q4"/>
    <mergeCell ref="R4:R6"/>
    <mergeCell ref="A4:A6"/>
    <mergeCell ref="B4:B6"/>
    <mergeCell ref="C4:C6"/>
    <mergeCell ref="D4:D6"/>
    <mergeCell ref="E4:E6"/>
    <mergeCell ref="A7:AE7"/>
    <mergeCell ref="S4:AD4"/>
    <mergeCell ref="AE4:AE6"/>
    <mergeCell ref="H5:H6"/>
    <mergeCell ref="I5:J5"/>
    <mergeCell ref="K5:L5"/>
    <mergeCell ref="M5:N5"/>
    <mergeCell ref="O5:P5"/>
    <mergeCell ref="S5:T5"/>
    <mergeCell ref="U5:V5"/>
    <mergeCell ref="W5:X5"/>
    <mergeCell ref="Y5:Z5"/>
    <mergeCell ref="AA5:AA6"/>
    <mergeCell ref="AB5:AB6"/>
    <mergeCell ref="AC5:AC6"/>
    <mergeCell ref="AD5:AD6"/>
    <mergeCell ref="A63:AE63"/>
    <mergeCell ref="A15:H15"/>
    <mergeCell ref="A16:AE16"/>
    <mergeCell ref="A24:H24"/>
    <mergeCell ref="A25:AE25"/>
    <mergeCell ref="A38:H38"/>
    <mergeCell ref="A39:AE39"/>
    <mergeCell ref="A48:H48"/>
    <mergeCell ref="A49:AE49"/>
    <mergeCell ref="A57:H57"/>
    <mergeCell ref="A58:AE58"/>
    <mergeCell ref="A62:H62"/>
    <mergeCell ref="A127:E127"/>
    <mergeCell ref="A70:H70"/>
    <mergeCell ref="A71:AE71"/>
    <mergeCell ref="A77:E77"/>
    <mergeCell ref="A78:AE78"/>
    <mergeCell ref="A88:G88"/>
    <mergeCell ref="A89:AE89"/>
    <mergeCell ref="A98:H98"/>
    <mergeCell ref="A99:AE99"/>
    <mergeCell ref="B111:E111"/>
    <mergeCell ref="A112:AE112"/>
    <mergeCell ref="A126:H126"/>
  </mergeCells>
  <pageMargins left="0.25" right="0.25" top="0.75" bottom="0.75" header="0.3" footer="0.3"/>
  <pageSetup paperSize="9" scale="1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R32"/>
  <sheetViews>
    <sheetView topLeftCell="A7" zoomScaleNormal="100" workbookViewId="0">
      <selection activeCell="M23" sqref="M23"/>
    </sheetView>
  </sheetViews>
  <sheetFormatPr defaultColWidth="9.140625" defaultRowHeight="15.75"/>
  <cols>
    <col min="1" max="1" width="5.85546875" style="747" customWidth="1"/>
    <col min="2" max="2" width="37.140625" style="747" customWidth="1"/>
    <col min="3" max="3" width="16.42578125" style="747" customWidth="1"/>
    <col min="4" max="5" width="14.7109375" style="747" customWidth="1"/>
    <col min="6" max="6" width="14" style="749" customWidth="1"/>
    <col min="7" max="8" width="13.28515625" style="747" customWidth="1"/>
    <col min="9" max="10" width="15.42578125" style="747" customWidth="1"/>
    <col min="11" max="11" width="11.28515625" style="747" bestFit="1" customWidth="1"/>
    <col min="12" max="13" width="12.7109375" style="747" customWidth="1"/>
    <col min="14" max="14" width="17.140625" style="747" customWidth="1"/>
    <col min="15" max="16384" width="9.140625" style="747"/>
  </cols>
  <sheetData>
    <row r="1" spans="1:18">
      <c r="A1" s="1685" t="s">
        <v>1658</v>
      </c>
      <c r="B1" s="1685"/>
      <c r="C1" s="1685"/>
      <c r="D1" s="1685"/>
      <c r="E1" s="1685"/>
      <c r="F1" s="1685"/>
      <c r="G1" s="1685"/>
      <c r="H1" s="1685"/>
      <c r="I1" s="1685"/>
      <c r="J1" s="1443"/>
    </row>
    <row r="2" spans="1:18">
      <c r="A2" s="1686" t="s">
        <v>672</v>
      </c>
      <c r="B2" s="1686"/>
      <c r="C2" s="1686"/>
      <c r="D2" s="1686"/>
      <c r="E2" s="1686"/>
      <c r="F2" s="1686"/>
      <c r="G2" s="1686"/>
      <c r="H2" s="1686"/>
      <c r="I2" s="1686"/>
      <c r="J2" s="1444"/>
    </row>
    <row r="3" spans="1:18" ht="16.5" thickBot="1">
      <c r="A3" s="748" t="s">
        <v>1080</v>
      </c>
      <c r="B3" s="898"/>
      <c r="C3" s="898"/>
      <c r="D3" s="898"/>
      <c r="E3" s="898"/>
      <c r="F3" s="898"/>
      <c r="G3" s="899"/>
      <c r="H3" s="1687" t="s">
        <v>1659</v>
      </c>
      <c r="I3" s="1688"/>
      <c r="J3" s="1688"/>
      <c r="K3" s="1688"/>
      <c r="L3" s="1689"/>
      <c r="M3" s="1487"/>
    </row>
    <row r="4" spans="1:18" s="750" customFormat="1" ht="126">
      <c r="A4" s="1099" t="s">
        <v>256</v>
      </c>
      <c r="B4" s="1100" t="s">
        <v>247</v>
      </c>
      <c r="C4" s="1100" t="s">
        <v>531</v>
      </c>
      <c r="D4" s="1100" t="s">
        <v>523</v>
      </c>
      <c r="E4" s="1100" t="s">
        <v>524</v>
      </c>
      <c r="F4" s="1100" t="s">
        <v>525</v>
      </c>
      <c r="G4" s="1452" t="s">
        <v>1160</v>
      </c>
      <c r="H4" s="1452" t="s">
        <v>1660</v>
      </c>
      <c r="I4" s="1453" t="s">
        <v>1661</v>
      </c>
      <c r="J4" s="1100" t="s">
        <v>1662</v>
      </c>
      <c r="K4" s="1453" t="s">
        <v>1663</v>
      </c>
      <c r="L4" s="1489" t="s">
        <v>1664</v>
      </c>
      <c r="M4" s="1101" t="s">
        <v>1675</v>
      </c>
    </row>
    <row r="5" spans="1:18" s="751" customFormat="1">
      <c r="A5" s="1241"/>
      <c r="B5" s="1448">
        <v>1</v>
      </c>
      <c r="C5" s="1448">
        <v>2</v>
      </c>
      <c r="D5" s="1448">
        <v>3</v>
      </c>
      <c r="E5" s="1448">
        <v>4</v>
      </c>
      <c r="F5" s="1448">
        <v>5</v>
      </c>
      <c r="G5" s="1448">
        <v>6</v>
      </c>
      <c r="H5" s="1448">
        <v>7</v>
      </c>
      <c r="I5" s="1448">
        <v>8</v>
      </c>
      <c r="J5" s="1448">
        <v>9</v>
      </c>
      <c r="K5" s="1448">
        <v>10</v>
      </c>
      <c r="L5" s="1486">
        <v>11</v>
      </c>
      <c r="M5" s="1449">
        <v>12</v>
      </c>
      <c r="N5" s="1454"/>
    </row>
    <row r="6" spans="1:18">
      <c r="A6" s="1244">
        <v>1</v>
      </c>
      <c r="B6" s="1245" t="s">
        <v>528</v>
      </c>
      <c r="C6" s="1246">
        <v>20758</v>
      </c>
      <c r="D6" s="1247">
        <v>211.55</v>
      </c>
      <c r="E6" s="1248">
        <f>C6*D6</f>
        <v>4391354.9000000004</v>
      </c>
      <c r="F6" s="1249">
        <v>1</v>
      </c>
      <c r="G6" s="1455">
        <f>E6*F6/1000</f>
        <v>4391.3549000000003</v>
      </c>
      <c r="H6" s="1455">
        <v>4190</v>
      </c>
      <c r="I6" s="1456">
        <v>358.04</v>
      </c>
      <c r="J6" s="1456">
        <v>1687.1</v>
      </c>
      <c r="K6" s="1457">
        <f>I6*J6*4.254/1000</f>
        <v>2569.6256541359999</v>
      </c>
      <c r="L6" s="1491">
        <f>K6-(G6-H6)-0.6</f>
        <v>2367.6707541359997</v>
      </c>
      <c r="M6" s="1458"/>
    </row>
    <row r="7" spans="1:18">
      <c r="A7" s="1244">
        <v>2</v>
      </c>
      <c r="B7" s="1245" t="s">
        <v>529</v>
      </c>
      <c r="C7" s="1246">
        <v>20758</v>
      </c>
      <c r="D7" s="1247">
        <v>219.83</v>
      </c>
      <c r="E7" s="1248">
        <f>C7*D7</f>
        <v>4563231.1400000006</v>
      </c>
      <c r="F7" s="1249">
        <v>1</v>
      </c>
      <c r="G7" s="1455">
        <f>E7*F7/1000</f>
        <v>4563.2311400000008</v>
      </c>
      <c r="H7" s="1455">
        <v>4373.8</v>
      </c>
      <c r="I7" s="1456">
        <v>400.72</v>
      </c>
      <c r="J7" s="1456">
        <v>1687.1</v>
      </c>
      <c r="K7" s="1457">
        <f>I7*J7*4.1/1000</f>
        <v>2771.8243192</v>
      </c>
      <c r="L7" s="1495">
        <f>K7-(G7-H7)</f>
        <v>2582.3931791999994</v>
      </c>
      <c r="M7" s="1459"/>
    </row>
    <row r="8" spans="1:18" ht="16.5" thickBot="1">
      <c r="A8" s="1690" t="s">
        <v>530</v>
      </c>
      <c r="B8" s="1691"/>
      <c r="C8" s="1691"/>
      <c r="D8" s="1691"/>
      <c r="E8" s="1692"/>
      <c r="F8" s="1252"/>
      <c r="G8" s="1460">
        <f>SUM(G6:G7)</f>
        <v>8954.586040000002</v>
      </c>
      <c r="H8" s="1460">
        <f>SUM(H6:H7)</f>
        <v>8563.7999999999993</v>
      </c>
      <c r="I8" s="1461"/>
      <c r="J8" s="1461"/>
      <c r="K8" s="1462"/>
      <c r="L8" s="1492">
        <f>SUM(L6:L7)</f>
        <v>4950.0639333359995</v>
      </c>
      <c r="M8" s="1463">
        <f>G8+L8</f>
        <v>13904.649973336001</v>
      </c>
      <c r="N8" s="747">
        <v>4950.1000000000004</v>
      </c>
    </row>
    <row r="9" spans="1:18">
      <c r="A9" s="1254"/>
      <c r="B9" s="1255"/>
      <c r="C9" s="1254"/>
      <c r="D9" s="1254"/>
      <c r="E9" s="1254"/>
      <c r="F9" s="1256"/>
      <c r="G9" s="1257"/>
      <c r="H9" s="1257"/>
      <c r="I9" s="1253"/>
      <c r="J9" s="1253"/>
    </row>
    <row r="10" spans="1:18" ht="16.5" thickBot="1">
      <c r="A10" s="1258" t="s">
        <v>22</v>
      </c>
      <c r="B10" s="1258"/>
      <c r="C10" s="1258"/>
      <c r="D10" s="1258"/>
      <c r="E10" s="1258"/>
      <c r="F10" s="1259"/>
      <c r="G10" s="1260"/>
      <c r="H10" s="1687" t="s">
        <v>1659</v>
      </c>
      <c r="I10" s="1688"/>
      <c r="J10" s="1688"/>
      <c r="K10" s="1688"/>
      <c r="L10" s="1689"/>
      <c r="M10" s="1487"/>
    </row>
    <row r="11" spans="1:18" s="751" customFormat="1" ht="157.5">
      <c r="A11" s="1693" t="s">
        <v>256</v>
      </c>
      <c r="B11" s="1447" t="s">
        <v>536</v>
      </c>
      <c r="C11" s="1447" t="s">
        <v>532</v>
      </c>
      <c r="D11" s="1447" t="s">
        <v>533</v>
      </c>
      <c r="E11" s="1447" t="s">
        <v>525</v>
      </c>
      <c r="F11" s="1695" t="s">
        <v>1161</v>
      </c>
      <c r="G11" s="1696"/>
      <c r="H11" s="1452" t="s">
        <v>1665</v>
      </c>
      <c r="I11" s="1453" t="s">
        <v>1661</v>
      </c>
      <c r="J11" s="1447" t="s">
        <v>536</v>
      </c>
      <c r="K11" s="1453" t="s">
        <v>1666</v>
      </c>
      <c r="L11" s="1489" t="s">
        <v>1664</v>
      </c>
      <c r="M11" s="1101" t="s">
        <v>1675</v>
      </c>
    </row>
    <row r="12" spans="1:18">
      <c r="A12" s="1694"/>
      <c r="B12" s="1448">
        <v>1</v>
      </c>
      <c r="C12" s="1448">
        <v>2</v>
      </c>
      <c r="D12" s="1448">
        <v>3</v>
      </c>
      <c r="E12" s="1448">
        <v>4</v>
      </c>
      <c r="F12" s="1697">
        <v>5</v>
      </c>
      <c r="G12" s="1698"/>
      <c r="H12" s="1464">
        <v>6</v>
      </c>
      <c r="I12" s="1498">
        <v>7</v>
      </c>
      <c r="J12" s="1464">
        <v>8</v>
      </c>
      <c r="K12" s="1498">
        <v>9</v>
      </c>
      <c r="L12" s="1464">
        <v>10</v>
      </c>
      <c r="M12" s="1498">
        <v>11</v>
      </c>
    </row>
    <row r="13" spans="1:18" ht="21" customHeight="1">
      <c r="A13" s="1694"/>
      <c r="B13" s="1450" t="s">
        <v>534</v>
      </c>
      <c r="C13" s="1450" t="s">
        <v>471</v>
      </c>
      <c r="D13" s="1450" t="s">
        <v>471</v>
      </c>
      <c r="E13" s="1450" t="s">
        <v>526</v>
      </c>
      <c r="F13" s="1699" t="s">
        <v>527</v>
      </c>
      <c r="G13" s="1700"/>
      <c r="H13" s="1465" t="s">
        <v>527</v>
      </c>
      <c r="I13" s="1450" t="s">
        <v>534</v>
      </c>
      <c r="J13" s="1450" t="s">
        <v>471</v>
      </c>
      <c r="K13" s="1466" t="s">
        <v>527</v>
      </c>
      <c r="L13" s="1490" t="s">
        <v>527</v>
      </c>
      <c r="M13" s="1467"/>
    </row>
    <row r="14" spans="1:18">
      <c r="A14" s="1446">
        <v>1</v>
      </c>
      <c r="B14" s="1261">
        <v>240000</v>
      </c>
      <c r="C14" s="1468">
        <v>73.66</v>
      </c>
      <c r="D14" s="1248">
        <f>B14*C14*8.55198039</f>
        <v>151185330.12657601</v>
      </c>
      <c r="E14" s="1249">
        <v>1</v>
      </c>
      <c r="F14" s="1701">
        <f>D14*E14/1000</f>
        <v>151185.33012657601</v>
      </c>
      <c r="G14" s="1702"/>
      <c r="H14" s="1469">
        <v>97515.3</v>
      </c>
      <c r="I14" s="1456">
        <v>55.71</v>
      </c>
      <c r="J14" s="1456">
        <v>257531.4</v>
      </c>
      <c r="K14" s="1457">
        <f>(I14*J14*4)/1000</f>
        <v>57388.297176</v>
      </c>
      <c r="L14" s="1491">
        <f>K14-(F14-H14)</f>
        <v>3718.2670494239937</v>
      </c>
      <c r="M14" s="1458"/>
      <c r="R14" s="747">
        <v>73</v>
      </c>
    </row>
    <row r="15" spans="1:18" ht="16.5" thickBot="1">
      <c r="A15" s="1262"/>
      <c r="B15" s="1703" t="s">
        <v>261</v>
      </c>
      <c r="C15" s="1704"/>
      <c r="D15" s="1704"/>
      <c r="E15" s="1704"/>
      <c r="F15" s="897"/>
      <c r="G15" s="1470">
        <f>F14</f>
        <v>151185.33012657601</v>
      </c>
      <c r="H15" s="1709"/>
      <c r="I15" s="1709"/>
      <c r="J15" s="1709"/>
      <c r="K15" s="1709"/>
      <c r="L15" s="1492">
        <v>3718</v>
      </c>
      <c r="M15" s="1463">
        <f>G15+L15</f>
        <v>154903.33012657601</v>
      </c>
      <c r="N15" s="747">
        <v>3718</v>
      </c>
      <c r="P15" s="747">
        <v>9200</v>
      </c>
      <c r="Q15" s="747">
        <v>151185.43</v>
      </c>
      <c r="R15" s="747">
        <f>Q15/240/C14</f>
        <v>8.5519860394605853</v>
      </c>
    </row>
    <row r="16" spans="1:18">
      <c r="A16" s="1251"/>
      <c r="B16" s="1255" t="s">
        <v>1512</v>
      </c>
      <c r="C16" s="1255"/>
      <c r="D16" s="1255"/>
      <c r="E16" s="1255"/>
      <c r="F16" s="895"/>
      <c r="G16" s="896"/>
      <c r="H16" s="896"/>
      <c r="I16" s="1251"/>
      <c r="J16" s="1251"/>
      <c r="P16" s="1428">
        <f>F14+P15</f>
        <v>160385.33012657601</v>
      </c>
    </row>
    <row r="17" spans="1:14">
      <c r="A17" s="1251"/>
      <c r="B17" s="1255"/>
      <c r="C17" s="1255"/>
      <c r="D17" s="1255"/>
      <c r="E17" s="1255"/>
      <c r="F17" s="895"/>
      <c r="G17" s="896"/>
      <c r="H17" s="896"/>
      <c r="I17" s="1251"/>
      <c r="J17" s="1251"/>
    </row>
    <row r="18" spans="1:14" ht="16.5" thickBot="1">
      <c r="A18" s="1258" t="s">
        <v>23</v>
      </c>
      <c r="B18" s="1251"/>
      <c r="C18" s="1251"/>
      <c r="D18" s="1251"/>
      <c r="E18" s="1251"/>
      <c r="F18" s="1251"/>
      <c r="G18" s="1251"/>
      <c r="H18" s="1687" t="s">
        <v>1659</v>
      </c>
      <c r="I18" s="1688"/>
      <c r="J18" s="1688"/>
      <c r="K18" s="1688"/>
      <c r="L18" s="1689"/>
      <c r="M18" s="1487"/>
    </row>
    <row r="19" spans="1:14" s="750" customFormat="1" ht="126">
      <c r="A19" s="1445" t="s">
        <v>535</v>
      </c>
      <c r="B19" s="1442" t="s">
        <v>247</v>
      </c>
      <c r="C19" s="1442" t="s">
        <v>262</v>
      </c>
      <c r="D19" s="1442" t="s">
        <v>257</v>
      </c>
      <c r="E19" s="1442" t="s">
        <v>258</v>
      </c>
      <c r="F19" s="1442" t="s">
        <v>259</v>
      </c>
      <c r="G19" s="1471" t="s">
        <v>260</v>
      </c>
      <c r="H19" s="1452" t="s">
        <v>1660</v>
      </c>
      <c r="I19" s="1453" t="s">
        <v>1667</v>
      </c>
      <c r="J19" s="1442" t="s">
        <v>1668</v>
      </c>
      <c r="K19" s="1453" t="s">
        <v>1669</v>
      </c>
      <c r="L19" s="1489" t="s">
        <v>1664</v>
      </c>
      <c r="M19" s="1101" t="s">
        <v>1675</v>
      </c>
    </row>
    <row r="20" spans="1:14" s="752" customFormat="1">
      <c r="A20" s="1263">
        <v>1</v>
      </c>
      <c r="B20" s="1264" t="s">
        <v>23</v>
      </c>
      <c r="C20" s="1472">
        <v>611.71</v>
      </c>
      <c r="D20" s="1265">
        <v>5571.73</v>
      </c>
      <c r="E20" s="1266">
        <v>1</v>
      </c>
      <c r="F20" s="1265">
        <f>C20*D20</f>
        <v>3408282.9583000001</v>
      </c>
      <c r="G20" s="1473">
        <f>F20*7/1000</f>
        <v>23857.9807081</v>
      </c>
      <c r="H20" s="1473">
        <v>22289</v>
      </c>
      <c r="I20" s="1474">
        <v>6562.35</v>
      </c>
      <c r="J20" s="1475">
        <v>529.38400000000001</v>
      </c>
      <c r="K20" s="1476">
        <f>I20*5*J20/1000</f>
        <v>17370.015462000003</v>
      </c>
      <c r="L20" s="1488">
        <f>K20-(G20-H20)</f>
        <v>15801.034753900003</v>
      </c>
      <c r="M20" s="1496"/>
      <c r="N20" s="1477">
        <v>15801</v>
      </c>
    </row>
    <row r="21" spans="1:14" s="728" customFormat="1">
      <c r="A21" s="1267"/>
      <c r="B21" s="1705" t="s">
        <v>261</v>
      </c>
      <c r="C21" s="1706"/>
      <c r="D21" s="1706"/>
      <c r="E21" s="1706"/>
      <c r="F21" s="1706"/>
      <c r="G21" s="1478">
        <f>G20</f>
        <v>23857.9807081</v>
      </c>
      <c r="H21" s="1478">
        <f>H20</f>
        <v>22289</v>
      </c>
      <c r="I21" s="1710"/>
      <c r="J21" s="1710"/>
      <c r="K21" s="1710"/>
      <c r="L21" s="1493">
        <f>L20</f>
        <v>15801.034753900003</v>
      </c>
      <c r="M21" s="1479">
        <f>G21+L21</f>
        <v>39659.015462000003</v>
      </c>
    </row>
    <row r="22" spans="1:14" s="728" customFormat="1" ht="16.5" thickBot="1">
      <c r="A22" s="1268"/>
      <c r="B22" s="1707" t="s">
        <v>1079</v>
      </c>
      <c r="C22" s="1708"/>
      <c r="D22" s="1708"/>
      <c r="E22" s="1708"/>
      <c r="F22" s="1708"/>
      <c r="G22" s="1480">
        <f>G8+G15+G21</f>
        <v>183997.89687467599</v>
      </c>
      <c r="H22" s="1481"/>
      <c r="I22" s="1482"/>
      <c r="J22" s="1483"/>
      <c r="K22" s="1484"/>
      <c r="L22" s="1494">
        <f>L8+L15+L21</f>
        <v>24469.098687236001</v>
      </c>
      <c r="M22" s="1497">
        <f>M8+M15+M21</f>
        <v>208466.99556191202</v>
      </c>
    </row>
    <row r="23" spans="1:14" s="728" customFormat="1">
      <c r="A23" s="1270"/>
      <c r="B23" s="1255" t="s">
        <v>1511</v>
      </c>
      <c r="C23" s="1271"/>
      <c r="D23" s="1271"/>
      <c r="E23" s="1271"/>
      <c r="F23" s="1271"/>
      <c r="G23" s="890"/>
      <c r="H23" s="890"/>
      <c r="I23" s="891"/>
      <c r="J23" s="891"/>
      <c r="K23" s="948"/>
      <c r="L23" s="1297"/>
      <c r="M23" s="1297"/>
      <c r="N23" s="948"/>
    </row>
    <row r="24" spans="1:14">
      <c r="A24" s="1272"/>
      <c r="B24" s="1272"/>
      <c r="C24" s="1272"/>
      <c r="D24" s="1272"/>
      <c r="E24" s="1272"/>
      <c r="F24" s="1272"/>
      <c r="G24" s="1251"/>
      <c r="H24" s="1251"/>
      <c r="I24" s="1251"/>
      <c r="J24" s="1251"/>
      <c r="L24" s="1485"/>
      <c r="M24" s="1485"/>
    </row>
    <row r="25" spans="1:14" s="673" customFormat="1" ht="15">
      <c r="A25" s="674" t="s">
        <v>1670</v>
      </c>
      <c r="B25" s="674"/>
      <c r="D25" s="674"/>
      <c r="F25" s="674" t="s">
        <v>1671</v>
      </c>
      <c r="G25" s="674"/>
    </row>
    <row r="26" spans="1:14" ht="18.75">
      <c r="A26" s="674"/>
      <c r="B26" s="674"/>
      <c r="D26" s="1055"/>
      <c r="F26" s="674"/>
      <c r="G26" s="1274"/>
      <c r="H26" s="1274"/>
      <c r="I26" s="1251"/>
      <c r="J26" s="1251"/>
    </row>
    <row r="27" spans="1:14" ht="18.75">
      <c r="A27" s="674"/>
      <c r="B27" s="674"/>
      <c r="D27" s="1055"/>
      <c r="F27" s="674"/>
      <c r="G27" s="1274"/>
      <c r="H27" s="1274"/>
      <c r="I27" s="1251"/>
      <c r="J27" s="1251"/>
    </row>
    <row r="28" spans="1:14" ht="18.75">
      <c r="A28" s="674" t="s">
        <v>1672</v>
      </c>
      <c r="B28" s="674"/>
      <c r="D28" s="1055"/>
      <c r="F28" s="674"/>
      <c r="G28" s="1274"/>
      <c r="H28" s="1274"/>
      <c r="I28" s="1251"/>
      <c r="J28" s="1251"/>
    </row>
    <row r="29" spans="1:14" ht="18.75">
      <c r="A29" s="674" t="s">
        <v>1673</v>
      </c>
      <c r="B29" s="674"/>
      <c r="D29" s="1055"/>
      <c r="F29" s="674" t="s">
        <v>1674</v>
      </c>
      <c r="G29" s="1274"/>
      <c r="H29" s="1274"/>
      <c r="I29" s="1251"/>
      <c r="J29" s="1251"/>
    </row>
    <row r="30" spans="1:14" ht="18.75">
      <c r="A30" s="674"/>
      <c r="B30" s="674"/>
      <c r="D30" s="743"/>
      <c r="F30" s="674"/>
      <c r="G30" s="741"/>
      <c r="H30" s="741"/>
    </row>
    <row r="31" spans="1:14" ht="18.75">
      <c r="A31" s="674"/>
      <c r="B31" s="674"/>
      <c r="D31" s="742"/>
      <c r="F31" s="674"/>
      <c r="G31" s="741"/>
      <c r="H31" s="741"/>
    </row>
    <row r="32" spans="1:14">
      <c r="A32" s="674" t="s">
        <v>1166</v>
      </c>
      <c r="B32" s="673"/>
      <c r="D32" s="739"/>
      <c r="F32" s="1441" t="s">
        <v>1168</v>
      </c>
      <c r="G32" s="741"/>
      <c r="H32" s="741"/>
    </row>
  </sheetData>
  <mergeCells count="16">
    <mergeCell ref="B15:E15"/>
    <mergeCell ref="B21:F21"/>
    <mergeCell ref="B22:F22"/>
    <mergeCell ref="H15:K15"/>
    <mergeCell ref="H18:L18"/>
    <mergeCell ref="I21:K21"/>
    <mergeCell ref="A11:A13"/>
    <mergeCell ref="F11:G11"/>
    <mergeCell ref="F12:G12"/>
    <mergeCell ref="F13:G13"/>
    <mergeCell ref="F14:G14"/>
    <mergeCell ref="A1:I1"/>
    <mergeCell ref="A2:I2"/>
    <mergeCell ref="H3:L3"/>
    <mergeCell ref="H10:L10"/>
    <mergeCell ref="A8:E8"/>
  </mergeCells>
  <pageMargins left="0.7" right="0.7" top="0.75" bottom="0.75" header="0.3" footer="0.3"/>
  <pageSetup paperSize="9" scale="5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7"/>
  <sheetViews>
    <sheetView view="pageBreakPreview" topLeftCell="K70" zoomScale="70" zoomScaleNormal="100" zoomScaleSheetLayoutView="70" workbookViewId="0">
      <selection activeCell="S108" sqref="S108"/>
    </sheetView>
  </sheetViews>
  <sheetFormatPr defaultRowHeight="18.75"/>
  <cols>
    <col min="1" max="1" width="6.85546875" style="4" customWidth="1"/>
    <col min="2" max="2" width="54.85546875" style="4" customWidth="1"/>
    <col min="3" max="3" width="29.5703125" style="5" hidden="1" customWidth="1"/>
    <col min="4" max="4" width="12.7109375" style="4" customWidth="1"/>
    <col min="5" max="5" width="13.85546875" style="6" customWidth="1"/>
    <col min="6" max="6" width="19.42578125" style="4" customWidth="1"/>
    <col min="7" max="7" width="9.28515625" style="4" customWidth="1"/>
    <col min="8" max="8" width="11.85546875" style="4" customWidth="1"/>
    <col min="9" max="9" width="16.42578125" style="4" customWidth="1"/>
    <col min="10" max="10" width="18.140625" style="4" hidden="1" customWidth="1"/>
    <col min="11" max="11" width="16.5703125" style="4" customWidth="1"/>
    <col min="12" max="13" width="16.5703125" style="4" hidden="1" customWidth="1"/>
    <col min="14" max="15" width="16.5703125" style="4" customWidth="1"/>
    <col min="16" max="16" width="5.140625" style="4" customWidth="1"/>
    <col min="17" max="17" width="16.5703125" style="4" customWidth="1"/>
    <col min="18" max="18" width="5.140625" style="4" customWidth="1"/>
    <col min="19" max="19" width="16.5703125" style="4" customWidth="1"/>
    <col min="20" max="20" width="5.140625" style="4" customWidth="1"/>
    <col min="21" max="21" width="16.5703125" style="4" customWidth="1"/>
    <col min="22" max="22" width="5.140625" style="4" customWidth="1"/>
    <col min="23" max="23" width="15.28515625" style="4" customWidth="1"/>
    <col min="24" max="24" width="4.7109375" style="4" customWidth="1"/>
    <col min="25" max="25" width="23" style="4" hidden="1" customWidth="1"/>
    <col min="26" max="26" width="6.5703125" style="4" customWidth="1"/>
    <col min="27" max="27" width="10.5703125" style="4" customWidth="1"/>
    <col min="28" max="28" width="17.42578125" style="4" customWidth="1"/>
    <col min="29" max="29" width="7.7109375" style="4" customWidth="1"/>
    <col min="30" max="30" width="15.42578125" style="4" customWidth="1"/>
    <col min="31" max="31" width="16.42578125" style="4" customWidth="1"/>
    <col min="32" max="32" width="17.28515625" style="4" customWidth="1"/>
    <col min="33" max="33" width="19.42578125" style="4" hidden="1" customWidth="1"/>
    <col min="34" max="34" width="19" style="4" customWidth="1"/>
    <col min="35" max="37" width="26" style="4" customWidth="1"/>
    <col min="38" max="38" width="35.42578125" style="8" customWidth="1"/>
    <col min="39" max="39" width="27.5703125" style="8" customWidth="1"/>
    <col min="40" max="40" width="9.140625" style="4" customWidth="1"/>
    <col min="41" max="41" width="26.7109375" style="4" customWidth="1"/>
    <col min="42" max="42" width="17.28515625" style="4" customWidth="1"/>
    <col min="43" max="208" width="9.140625" style="4" customWidth="1"/>
    <col min="209" max="210" width="3" style="4" customWidth="1"/>
    <col min="211" max="211" width="4.42578125" style="4" bestFit="1" customWidth="1"/>
    <col min="212" max="212" width="59.140625" style="4" customWidth="1"/>
    <col min="213" max="213" width="0" style="4" hidden="1" customWidth="1"/>
    <col min="214" max="214" width="12.7109375" style="4" customWidth="1"/>
    <col min="215" max="215" width="8.28515625" style="4" customWidth="1"/>
    <col min="216" max="216" width="14.42578125" style="4" customWidth="1"/>
    <col min="217" max="217" width="7.28515625" style="4" customWidth="1"/>
    <col min="218" max="218" width="9.5703125" style="4" customWidth="1"/>
    <col min="219" max="219" width="17" style="4" customWidth="1"/>
    <col min="220" max="220" width="0" style="4" hidden="1" customWidth="1"/>
    <col min="221" max="221" width="15.140625" style="4" customWidth="1"/>
    <col min="222" max="222" width="13.85546875" style="4" customWidth="1"/>
    <col min="223" max="223" width="4.42578125" style="4" customWidth="1"/>
    <col min="224" max="224" width="12.28515625" style="4" customWidth="1"/>
    <col min="225" max="225" width="6" style="4" customWidth="1"/>
    <col min="226" max="226" width="19.85546875" style="4" customWidth="1"/>
    <col min="227" max="227" width="5.140625" style="4" customWidth="1"/>
    <col min="228" max="228" width="17.28515625" style="4" bestFit="1" customWidth="1"/>
    <col min="229" max="230" width="0" style="4" hidden="1" customWidth="1"/>
    <col min="231" max="231" width="5.85546875" style="4" customWidth="1"/>
    <col min="232" max="232" width="10.28515625" style="4" customWidth="1"/>
    <col min="233" max="233" width="15.42578125" style="4" customWidth="1"/>
    <col min="234" max="234" width="11.85546875" style="4" customWidth="1"/>
    <col min="235" max="235" width="16.42578125" style="4" customWidth="1"/>
    <col min="236" max="236" width="17.28515625" style="4" customWidth="1"/>
    <col min="237" max="237" width="19" style="4" bestFit="1" customWidth="1"/>
    <col min="238" max="238" width="20" style="4" customWidth="1"/>
    <col min="239" max="239" width="18.7109375" style="4" bestFit="1" customWidth="1"/>
    <col min="240" max="240" width="17.85546875" style="4" bestFit="1" customWidth="1"/>
    <col min="241" max="241" width="16.42578125" style="4" bestFit="1" customWidth="1"/>
    <col min="242" max="256" width="9.140625" style="4"/>
    <col min="257" max="257" width="6.85546875" style="4" customWidth="1"/>
    <col min="258" max="258" width="54.85546875" style="4" customWidth="1"/>
    <col min="259" max="259" width="0" style="4" hidden="1" customWidth="1"/>
    <col min="260" max="260" width="12.7109375" style="4" customWidth="1"/>
    <col min="261" max="261" width="13.85546875" style="4" customWidth="1"/>
    <col min="262" max="262" width="19.42578125" style="4" customWidth="1"/>
    <col min="263" max="263" width="9.28515625" style="4" customWidth="1"/>
    <col min="264" max="264" width="11.85546875" style="4" customWidth="1"/>
    <col min="265" max="265" width="16.42578125" style="4" customWidth="1"/>
    <col min="266" max="266" width="0" style="4" hidden="1" customWidth="1"/>
    <col min="267" max="267" width="16.5703125" style="4" customWidth="1"/>
    <col min="268" max="269" width="0" style="4" hidden="1" customWidth="1"/>
    <col min="270" max="271" width="16.5703125" style="4" customWidth="1"/>
    <col min="272" max="272" width="5.140625" style="4" customWidth="1"/>
    <col min="273" max="273" width="16.5703125" style="4" customWidth="1"/>
    <col min="274" max="274" width="5.140625" style="4" customWidth="1"/>
    <col min="275" max="275" width="16.5703125" style="4" customWidth="1"/>
    <col min="276" max="276" width="5.140625" style="4" customWidth="1"/>
    <col min="277" max="277" width="16.5703125" style="4" customWidth="1"/>
    <col min="278" max="278" width="5.140625" style="4" customWidth="1"/>
    <col min="279" max="279" width="15.28515625" style="4" customWidth="1"/>
    <col min="280" max="280" width="4.7109375" style="4" customWidth="1"/>
    <col min="281" max="281" width="0" style="4" hidden="1" customWidth="1"/>
    <col min="282" max="282" width="6.5703125" style="4" customWidth="1"/>
    <col min="283" max="283" width="10.5703125" style="4" customWidth="1"/>
    <col min="284" max="284" width="17.42578125" style="4" customWidth="1"/>
    <col min="285" max="285" width="7.7109375" style="4" customWidth="1"/>
    <col min="286" max="286" width="15.42578125" style="4" customWidth="1"/>
    <col min="287" max="287" width="16.42578125" style="4" customWidth="1"/>
    <col min="288" max="288" width="17.28515625" style="4" customWidth="1"/>
    <col min="289" max="289" width="0" style="4" hidden="1" customWidth="1"/>
    <col min="290" max="290" width="19" style="4" customWidth="1"/>
    <col min="291" max="293" width="26" style="4" customWidth="1"/>
    <col min="294" max="294" width="35.42578125" style="4" customWidth="1"/>
    <col min="295" max="295" width="27.5703125" style="4" customWidth="1"/>
    <col min="296" max="296" width="9.140625" style="4" customWidth="1"/>
    <col min="297" max="297" width="26.7109375" style="4" customWidth="1"/>
    <col min="298" max="298" width="17.28515625" style="4" customWidth="1"/>
    <col min="299" max="464" width="9.140625" style="4" customWidth="1"/>
    <col min="465" max="466" width="3" style="4" customWidth="1"/>
    <col min="467" max="467" width="4.42578125" style="4" bestFit="1" customWidth="1"/>
    <col min="468" max="468" width="59.140625" style="4" customWidth="1"/>
    <col min="469" max="469" width="0" style="4" hidden="1" customWidth="1"/>
    <col min="470" max="470" width="12.7109375" style="4" customWidth="1"/>
    <col min="471" max="471" width="8.28515625" style="4" customWidth="1"/>
    <col min="472" max="472" width="14.42578125" style="4" customWidth="1"/>
    <col min="473" max="473" width="7.28515625" style="4" customWidth="1"/>
    <col min="474" max="474" width="9.5703125" style="4" customWidth="1"/>
    <col min="475" max="475" width="17" style="4" customWidth="1"/>
    <col min="476" max="476" width="0" style="4" hidden="1" customWidth="1"/>
    <col min="477" max="477" width="15.140625" style="4" customWidth="1"/>
    <col min="478" max="478" width="13.85546875" style="4" customWidth="1"/>
    <col min="479" max="479" width="4.42578125" style="4" customWidth="1"/>
    <col min="480" max="480" width="12.28515625" style="4" customWidth="1"/>
    <col min="481" max="481" width="6" style="4" customWidth="1"/>
    <col min="482" max="482" width="19.85546875" style="4" customWidth="1"/>
    <col min="483" max="483" width="5.140625" style="4" customWidth="1"/>
    <col min="484" max="484" width="17.28515625" style="4" bestFit="1" customWidth="1"/>
    <col min="485" max="486" width="0" style="4" hidden="1" customWidth="1"/>
    <col min="487" max="487" width="5.85546875" style="4" customWidth="1"/>
    <col min="488" max="488" width="10.28515625" style="4" customWidth="1"/>
    <col min="489" max="489" width="15.42578125" style="4" customWidth="1"/>
    <col min="490" max="490" width="11.85546875" style="4" customWidth="1"/>
    <col min="491" max="491" width="16.42578125" style="4" customWidth="1"/>
    <col min="492" max="492" width="17.28515625" style="4" customWidth="1"/>
    <col min="493" max="493" width="19" style="4" bestFit="1" customWidth="1"/>
    <col min="494" max="494" width="20" style="4" customWidth="1"/>
    <col min="495" max="495" width="18.7109375" style="4" bestFit="1" customWidth="1"/>
    <col min="496" max="496" width="17.85546875" style="4" bestFit="1" customWidth="1"/>
    <col min="497" max="497" width="16.42578125" style="4" bestFit="1" customWidth="1"/>
    <col min="498" max="512" width="9.140625" style="4"/>
    <col min="513" max="513" width="6.85546875" style="4" customWidth="1"/>
    <col min="514" max="514" width="54.85546875" style="4" customWidth="1"/>
    <col min="515" max="515" width="0" style="4" hidden="1" customWidth="1"/>
    <col min="516" max="516" width="12.7109375" style="4" customWidth="1"/>
    <col min="517" max="517" width="13.85546875" style="4" customWidth="1"/>
    <col min="518" max="518" width="19.42578125" style="4" customWidth="1"/>
    <col min="519" max="519" width="9.28515625" style="4" customWidth="1"/>
    <col min="520" max="520" width="11.85546875" style="4" customWidth="1"/>
    <col min="521" max="521" width="16.42578125" style="4" customWidth="1"/>
    <col min="522" max="522" width="0" style="4" hidden="1" customWidth="1"/>
    <col min="523" max="523" width="16.5703125" style="4" customWidth="1"/>
    <col min="524" max="525" width="0" style="4" hidden="1" customWidth="1"/>
    <col min="526" max="527" width="16.5703125" style="4" customWidth="1"/>
    <col min="528" max="528" width="5.140625" style="4" customWidth="1"/>
    <col min="529" max="529" width="16.5703125" style="4" customWidth="1"/>
    <col min="530" max="530" width="5.140625" style="4" customWidth="1"/>
    <col min="531" max="531" width="16.5703125" style="4" customWidth="1"/>
    <col min="532" max="532" width="5.140625" style="4" customWidth="1"/>
    <col min="533" max="533" width="16.5703125" style="4" customWidth="1"/>
    <col min="534" max="534" width="5.140625" style="4" customWidth="1"/>
    <col min="535" max="535" width="15.28515625" style="4" customWidth="1"/>
    <col min="536" max="536" width="4.7109375" style="4" customWidth="1"/>
    <col min="537" max="537" width="0" style="4" hidden="1" customWidth="1"/>
    <col min="538" max="538" width="6.5703125" style="4" customWidth="1"/>
    <col min="539" max="539" width="10.5703125" style="4" customWidth="1"/>
    <col min="540" max="540" width="17.42578125" style="4" customWidth="1"/>
    <col min="541" max="541" width="7.7109375" style="4" customWidth="1"/>
    <col min="542" max="542" width="15.42578125" style="4" customWidth="1"/>
    <col min="543" max="543" width="16.42578125" style="4" customWidth="1"/>
    <col min="544" max="544" width="17.28515625" style="4" customWidth="1"/>
    <col min="545" max="545" width="0" style="4" hidden="1" customWidth="1"/>
    <col min="546" max="546" width="19" style="4" customWidth="1"/>
    <col min="547" max="549" width="26" style="4" customWidth="1"/>
    <col min="550" max="550" width="35.42578125" style="4" customWidth="1"/>
    <col min="551" max="551" width="27.5703125" style="4" customWidth="1"/>
    <col min="552" max="552" width="9.140625" style="4" customWidth="1"/>
    <col min="553" max="553" width="26.7109375" style="4" customWidth="1"/>
    <col min="554" max="554" width="17.28515625" style="4" customWidth="1"/>
    <col min="555" max="720" width="9.140625" style="4" customWidth="1"/>
    <col min="721" max="722" width="3" style="4" customWidth="1"/>
    <col min="723" max="723" width="4.42578125" style="4" bestFit="1" customWidth="1"/>
    <col min="724" max="724" width="59.140625" style="4" customWidth="1"/>
    <col min="725" max="725" width="0" style="4" hidden="1" customWidth="1"/>
    <col min="726" max="726" width="12.7109375" style="4" customWidth="1"/>
    <col min="727" max="727" width="8.28515625" style="4" customWidth="1"/>
    <col min="728" max="728" width="14.42578125" style="4" customWidth="1"/>
    <col min="729" max="729" width="7.28515625" style="4" customWidth="1"/>
    <col min="730" max="730" width="9.5703125" style="4" customWidth="1"/>
    <col min="731" max="731" width="17" style="4" customWidth="1"/>
    <col min="732" max="732" width="0" style="4" hidden="1" customWidth="1"/>
    <col min="733" max="733" width="15.140625" style="4" customWidth="1"/>
    <col min="734" max="734" width="13.85546875" style="4" customWidth="1"/>
    <col min="735" max="735" width="4.42578125" style="4" customWidth="1"/>
    <col min="736" max="736" width="12.28515625" style="4" customWidth="1"/>
    <col min="737" max="737" width="6" style="4" customWidth="1"/>
    <col min="738" max="738" width="19.85546875" style="4" customWidth="1"/>
    <col min="739" max="739" width="5.140625" style="4" customWidth="1"/>
    <col min="740" max="740" width="17.28515625" style="4" bestFit="1" customWidth="1"/>
    <col min="741" max="742" width="0" style="4" hidden="1" customWidth="1"/>
    <col min="743" max="743" width="5.85546875" style="4" customWidth="1"/>
    <col min="744" max="744" width="10.28515625" style="4" customWidth="1"/>
    <col min="745" max="745" width="15.42578125" style="4" customWidth="1"/>
    <col min="746" max="746" width="11.85546875" style="4" customWidth="1"/>
    <col min="747" max="747" width="16.42578125" style="4" customWidth="1"/>
    <col min="748" max="748" width="17.28515625" style="4" customWidth="1"/>
    <col min="749" max="749" width="19" style="4" bestFit="1" customWidth="1"/>
    <col min="750" max="750" width="20" style="4" customWidth="1"/>
    <col min="751" max="751" width="18.7109375" style="4" bestFit="1" customWidth="1"/>
    <col min="752" max="752" width="17.85546875" style="4" bestFit="1" customWidth="1"/>
    <col min="753" max="753" width="16.42578125" style="4" bestFit="1" customWidth="1"/>
    <col min="754" max="768" width="9.140625" style="4"/>
    <col min="769" max="769" width="6.85546875" style="4" customWidth="1"/>
    <col min="770" max="770" width="54.85546875" style="4" customWidth="1"/>
    <col min="771" max="771" width="0" style="4" hidden="1" customWidth="1"/>
    <col min="772" max="772" width="12.7109375" style="4" customWidth="1"/>
    <col min="773" max="773" width="13.85546875" style="4" customWidth="1"/>
    <col min="774" max="774" width="19.42578125" style="4" customWidth="1"/>
    <col min="775" max="775" width="9.28515625" style="4" customWidth="1"/>
    <col min="776" max="776" width="11.85546875" style="4" customWidth="1"/>
    <col min="777" max="777" width="16.42578125" style="4" customWidth="1"/>
    <col min="778" max="778" width="0" style="4" hidden="1" customWidth="1"/>
    <col min="779" max="779" width="16.5703125" style="4" customWidth="1"/>
    <col min="780" max="781" width="0" style="4" hidden="1" customWidth="1"/>
    <col min="782" max="783" width="16.5703125" style="4" customWidth="1"/>
    <col min="784" max="784" width="5.140625" style="4" customWidth="1"/>
    <col min="785" max="785" width="16.5703125" style="4" customWidth="1"/>
    <col min="786" max="786" width="5.140625" style="4" customWidth="1"/>
    <col min="787" max="787" width="16.5703125" style="4" customWidth="1"/>
    <col min="788" max="788" width="5.140625" style="4" customWidth="1"/>
    <col min="789" max="789" width="16.5703125" style="4" customWidth="1"/>
    <col min="790" max="790" width="5.140625" style="4" customWidth="1"/>
    <col min="791" max="791" width="15.28515625" style="4" customWidth="1"/>
    <col min="792" max="792" width="4.7109375" style="4" customWidth="1"/>
    <col min="793" max="793" width="0" style="4" hidden="1" customWidth="1"/>
    <col min="794" max="794" width="6.5703125" style="4" customWidth="1"/>
    <col min="795" max="795" width="10.5703125" style="4" customWidth="1"/>
    <col min="796" max="796" width="17.42578125" style="4" customWidth="1"/>
    <col min="797" max="797" width="7.7109375" style="4" customWidth="1"/>
    <col min="798" max="798" width="15.42578125" style="4" customWidth="1"/>
    <col min="799" max="799" width="16.42578125" style="4" customWidth="1"/>
    <col min="800" max="800" width="17.28515625" style="4" customWidth="1"/>
    <col min="801" max="801" width="0" style="4" hidden="1" customWidth="1"/>
    <col min="802" max="802" width="19" style="4" customWidth="1"/>
    <col min="803" max="805" width="26" style="4" customWidth="1"/>
    <col min="806" max="806" width="35.42578125" style="4" customWidth="1"/>
    <col min="807" max="807" width="27.5703125" style="4" customWidth="1"/>
    <col min="808" max="808" width="9.140625" style="4" customWidth="1"/>
    <col min="809" max="809" width="26.7109375" style="4" customWidth="1"/>
    <col min="810" max="810" width="17.28515625" style="4" customWidth="1"/>
    <col min="811" max="976" width="9.140625" style="4" customWidth="1"/>
    <col min="977" max="978" width="3" style="4" customWidth="1"/>
    <col min="979" max="979" width="4.42578125" style="4" bestFit="1" customWidth="1"/>
    <col min="980" max="980" width="59.140625" style="4" customWidth="1"/>
    <col min="981" max="981" width="0" style="4" hidden="1" customWidth="1"/>
    <col min="982" max="982" width="12.7109375" style="4" customWidth="1"/>
    <col min="983" max="983" width="8.28515625" style="4" customWidth="1"/>
    <col min="984" max="984" width="14.42578125" style="4" customWidth="1"/>
    <col min="985" max="985" width="7.28515625" style="4" customWidth="1"/>
    <col min="986" max="986" width="9.5703125" style="4" customWidth="1"/>
    <col min="987" max="987" width="17" style="4" customWidth="1"/>
    <col min="988" max="988" width="0" style="4" hidden="1" customWidth="1"/>
    <col min="989" max="989" width="15.140625" style="4" customWidth="1"/>
    <col min="990" max="990" width="13.85546875" style="4" customWidth="1"/>
    <col min="991" max="991" width="4.42578125" style="4" customWidth="1"/>
    <col min="992" max="992" width="12.28515625" style="4" customWidth="1"/>
    <col min="993" max="993" width="6" style="4" customWidth="1"/>
    <col min="994" max="994" width="19.85546875" style="4" customWidth="1"/>
    <col min="995" max="995" width="5.140625" style="4" customWidth="1"/>
    <col min="996" max="996" width="17.28515625" style="4" bestFit="1" customWidth="1"/>
    <col min="997" max="998" width="0" style="4" hidden="1" customWidth="1"/>
    <col min="999" max="999" width="5.85546875" style="4" customWidth="1"/>
    <col min="1000" max="1000" width="10.28515625" style="4" customWidth="1"/>
    <col min="1001" max="1001" width="15.42578125" style="4" customWidth="1"/>
    <col min="1002" max="1002" width="11.85546875" style="4" customWidth="1"/>
    <col min="1003" max="1003" width="16.42578125" style="4" customWidth="1"/>
    <col min="1004" max="1004" width="17.28515625" style="4" customWidth="1"/>
    <col min="1005" max="1005" width="19" style="4" bestFit="1" customWidth="1"/>
    <col min="1006" max="1006" width="20" style="4" customWidth="1"/>
    <col min="1007" max="1007" width="18.7109375" style="4" bestFit="1" customWidth="1"/>
    <col min="1008" max="1008" width="17.85546875" style="4" bestFit="1" customWidth="1"/>
    <col min="1009" max="1009" width="16.42578125" style="4" bestFit="1" customWidth="1"/>
    <col min="1010" max="1024" width="9.140625" style="4"/>
    <col min="1025" max="1025" width="6.85546875" style="4" customWidth="1"/>
    <col min="1026" max="1026" width="54.85546875" style="4" customWidth="1"/>
    <col min="1027" max="1027" width="0" style="4" hidden="1" customWidth="1"/>
    <col min="1028" max="1028" width="12.7109375" style="4" customWidth="1"/>
    <col min="1029" max="1029" width="13.85546875" style="4" customWidth="1"/>
    <col min="1030" max="1030" width="19.42578125" style="4" customWidth="1"/>
    <col min="1031" max="1031" width="9.28515625" style="4" customWidth="1"/>
    <col min="1032" max="1032" width="11.85546875" style="4" customWidth="1"/>
    <col min="1033" max="1033" width="16.42578125" style="4" customWidth="1"/>
    <col min="1034" max="1034" width="0" style="4" hidden="1" customWidth="1"/>
    <col min="1035" max="1035" width="16.5703125" style="4" customWidth="1"/>
    <col min="1036" max="1037" width="0" style="4" hidden="1" customWidth="1"/>
    <col min="1038" max="1039" width="16.5703125" style="4" customWidth="1"/>
    <col min="1040" max="1040" width="5.140625" style="4" customWidth="1"/>
    <col min="1041" max="1041" width="16.5703125" style="4" customWidth="1"/>
    <col min="1042" max="1042" width="5.140625" style="4" customWidth="1"/>
    <col min="1043" max="1043" width="16.5703125" style="4" customWidth="1"/>
    <col min="1044" max="1044" width="5.140625" style="4" customWidth="1"/>
    <col min="1045" max="1045" width="16.5703125" style="4" customWidth="1"/>
    <col min="1046" max="1046" width="5.140625" style="4" customWidth="1"/>
    <col min="1047" max="1047" width="15.28515625" style="4" customWidth="1"/>
    <col min="1048" max="1048" width="4.7109375" style="4" customWidth="1"/>
    <col min="1049" max="1049" width="0" style="4" hidden="1" customWidth="1"/>
    <col min="1050" max="1050" width="6.5703125" style="4" customWidth="1"/>
    <col min="1051" max="1051" width="10.5703125" style="4" customWidth="1"/>
    <col min="1052" max="1052" width="17.42578125" style="4" customWidth="1"/>
    <col min="1053" max="1053" width="7.7109375" style="4" customWidth="1"/>
    <col min="1054" max="1054" width="15.42578125" style="4" customWidth="1"/>
    <col min="1055" max="1055" width="16.42578125" style="4" customWidth="1"/>
    <col min="1056" max="1056" width="17.28515625" style="4" customWidth="1"/>
    <col min="1057" max="1057" width="0" style="4" hidden="1" customWidth="1"/>
    <col min="1058" max="1058" width="19" style="4" customWidth="1"/>
    <col min="1059" max="1061" width="26" style="4" customWidth="1"/>
    <col min="1062" max="1062" width="35.42578125" style="4" customWidth="1"/>
    <col min="1063" max="1063" width="27.5703125" style="4" customWidth="1"/>
    <col min="1064" max="1064" width="9.140625" style="4" customWidth="1"/>
    <col min="1065" max="1065" width="26.7109375" style="4" customWidth="1"/>
    <col min="1066" max="1066" width="17.28515625" style="4" customWidth="1"/>
    <col min="1067" max="1232" width="9.140625" style="4" customWidth="1"/>
    <col min="1233" max="1234" width="3" style="4" customWidth="1"/>
    <col min="1235" max="1235" width="4.42578125" style="4" bestFit="1" customWidth="1"/>
    <col min="1236" max="1236" width="59.140625" style="4" customWidth="1"/>
    <col min="1237" max="1237" width="0" style="4" hidden="1" customWidth="1"/>
    <col min="1238" max="1238" width="12.7109375" style="4" customWidth="1"/>
    <col min="1239" max="1239" width="8.28515625" style="4" customWidth="1"/>
    <col min="1240" max="1240" width="14.42578125" style="4" customWidth="1"/>
    <col min="1241" max="1241" width="7.28515625" style="4" customWidth="1"/>
    <col min="1242" max="1242" width="9.5703125" style="4" customWidth="1"/>
    <col min="1243" max="1243" width="17" style="4" customWidth="1"/>
    <col min="1244" max="1244" width="0" style="4" hidden="1" customWidth="1"/>
    <col min="1245" max="1245" width="15.140625" style="4" customWidth="1"/>
    <col min="1246" max="1246" width="13.85546875" style="4" customWidth="1"/>
    <col min="1247" max="1247" width="4.42578125" style="4" customWidth="1"/>
    <col min="1248" max="1248" width="12.28515625" style="4" customWidth="1"/>
    <col min="1249" max="1249" width="6" style="4" customWidth="1"/>
    <col min="1250" max="1250" width="19.85546875" style="4" customWidth="1"/>
    <col min="1251" max="1251" width="5.140625" style="4" customWidth="1"/>
    <col min="1252" max="1252" width="17.28515625" style="4" bestFit="1" customWidth="1"/>
    <col min="1253" max="1254" width="0" style="4" hidden="1" customWidth="1"/>
    <col min="1255" max="1255" width="5.85546875" style="4" customWidth="1"/>
    <col min="1256" max="1256" width="10.28515625" style="4" customWidth="1"/>
    <col min="1257" max="1257" width="15.42578125" style="4" customWidth="1"/>
    <col min="1258" max="1258" width="11.85546875" style="4" customWidth="1"/>
    <col min="1259" max="1259" width="16.42578125" style="4" customWidth="1"/>
    <col min="1260" max="1260" width="17.28515625" style="4" customWidth="1"/>
    <col min="1261" max="1261" width="19" style="4" bestFit="1" customWidth="1"/>
    <col min="1262" max="1262" width="20" style="4" customWidth="1"/>
    <col min="1263" max="1263" width="18.7109375" style="4" bestFit="1" customWidth="1"/>
    <col min="1264" max="1264" width="17.85546875" style="4" bestFit="1" customWidth="1"/>
    <col min="1265" max="1265" width="16.42578125" style="4" bestFit="1" customWidth="1"/>
    <col min="1266" max="1280" width="9.140625" style="4"/>
    <col min="1281" max="1281" width="6.85546875" style="4" customWidth="1"/>
    <col min="1282" max="1282" width="54.85546875" style="4" customWidth="1"/>
    <col min="1283" max="1283" width="0" style="4" hidden="1" customWidth="1"/>
    <col min="1284" max="1284" width="12.7109375" style="4" customWidth="1"/>
    <col min="1285" max="1285" width="13.85546875" style="4" customWidth="1"/>
    <col min="1286" max="1286" width="19.42578125" style="4" customWidth="1"/>
    <col min="1287" max="1287" width="9.28515625" style="4" customWidth="1"/>
    <col min="1288" max="1288" width="11.85546875" style="4" customWidth="1"/>
    <col min="1289" max="1289" width="16.42578125" style="4" customWidth="1"/>
    <col min="1290" max="1290" width="0" style="4" hidden="1" customWidth="1"/>
    <col min="1291" max="1291" width="16.5703125" style="4" customWidth="1"/>
    <col min="1292" max="1293" width="0" style="4" hidden="1" customWidth="1"/>
    <col min="1294" max="1295" width="16.5703125" style="4" customWidth="1"/>
    <col min="1296" max="1296" width="5.140625" style="4" customWidth="1"/>
    <col min="1297" max="1297" width="16.5703125" style="4" customWidth="1"/>
    <col min="1298" max="1298" width="5.140625" style="4" customWidth="1"/>
    <col min="1299" max="1299" width="16.5703125" style="4" customWidth="1"/>
    <col min="1300" max="1300" width="5.140625" style="4" customWidth="1"/>
    <col min="1301" max="1301" width="16.5703125" style="4" customWidth="1"/>
    <col min="1302" max="1302" width="5.140625" style="4" customWidth="1"/>
    <col min="1303" max="1303" width="15.28515625" style="4" customWidth="1"/>
    <col min="1304" max="1304" width="4.7109375" style="4" customWidth="1"/>
    <col min="1305" max="1305" width="0" style="4" hidden="1" customWidth="1"/>
    <col min="1306" max="1306" width="6.5703125" style="4" customWidth="1"/>
    <col min="1307" max="1307" width="10.5703125" style="4" customWidth="1"/>
    <col min="1308" max="1308" width="17.42578125" style="4" customWidth="1"/>
    <col min="1309" max="1309" width="7.7109375" style="4" customWidth="1"/>
    <col min="1310" max="1310" width="15.42578125" style="4" customWidth="1"/>
    <col min="1311" max="1311" width="16.42578125" style="4" customWidth="1"/>
    <col min="1312" max="1312" width="17.28515625" style="4" customWidth="1"/>
    <col min="1313" max="1313" width="0" style="4" hidden="1" customWidth="1"/>
    <col min="1314" max="1314" width="19" style="4" customWidth="1"/>
    <col min="1315" max="1317" width="26" style="4" customWidth="1"/>
    <col min="1318" max="1318" width="35.42578125" style="4" customWidth="1"/>
    <col min="1319" max="1319" width="27.5703125" style="4" customWidth="1"/>
    <col min="1320" max="1320" width="9.140625" style="4" customWidth="1"/>
    <col min="1321" max="1321" width="26.7109375" style="4" customWidth="1"/>
    <col min="1322" max="1322" width="17.28515625" style="4" customWidth="1"/>
    <col min="1323" max="1488" width="9.140625" style="4" customWidth="1"/>
    <col min="1489" max="1490" width="3" style="4" customWidth="1"/>
    <col min="1491" max="1491" width="4.42578125" style="4" bestFit="1" customWidth="1"/>
    <col min="1492" max="1492" width="59.140625" style="4" customWidth="1"/>
    <col min="1493" max="1493" width="0" style="4" hidden="1" customWidth="1"/>
    <col min="1494" max="1494" width="12.7109375" style="4" customWidth="1"/>
    <col min="1495" max="1495" width="8.28515625" style="4" customWidth="1"/>
    <col min="1496" max="1496" width="14.42578125" style="4" customWidth="1"/>
    <col min="1497" max="1497" width="7.28515625" style="4" customWidth="1"/>
    <col min="1498" max="1498" width="9.5703125" style="4" customWidth="1"/>
    <col min="1499" max="1499" width="17" style="4" customWidth="1"/>
    <col min="1500" max="1500" width="0" style="4" hidden="1" customWidth="1"/>
    <col min="1501" max="1501" width="15.140625" style="4" customWidth="1"/>
    <col min="1502" max="1502" width="13.85546875" style="4" customWidth="1"/>
    <col min="1503" max="1503" width="4.42578125" style="4" customWidth="1"/>
    <col min="1504" max="1504" width="12.28515625" style="4" customWidth="1"/>
    <col min="1505" max="1505" width="6" style="4" customWidth="1"/>
    <col min="1506" max="1506" width="19.85546875" style="4" customWidth="1"/>
    <col min="1507" max="1507" width="5.140625" style="4" customWidth="1"/>
    <col min="1508" max="1508" width="17.28515625" style="4" bestFit="1" customWidth="1"/>
    <col min="1509" max="1510" width="0" style="4" hidden="1" customWidth="1"/>
    <col min="1511" max="1511" width="5.85546875" style="4" customWidth="1"/>
    <col min="1512" max="1512" width="10.28515625" style="4" customWidth="1"/>
    <col min="1513" max="1513" width="15.42578125" style="4" customWidth="1"/>
    <col min="1514" max="1514" width="11.85546875" style="4" customWidth="1"/>
    <col min="1515" max="1515" width="16.42578125" style="4" customWidth="1"/>
    <col min="1516" max="1516" width="17.28515625" style="4" customWidth="1"/>
    <col min="1517" max="1517" width="19" style="4" bestFit="1" customWidth="1"/>
    <col min="1518" max="1518" width="20" style="4" customWidth="1"/>
    <col min="1519" max="1519" width="18.7109375" style="4" bestFit="1" customWidth="1"/>
    <col min="1520" max="1520" width="17.85546875" style="4" bestFit="1" customWidth="1"/>
    <col min="1521" max="1521" width="16.42578125" style="4" bestFit="1" customWidth="1"/>
    <col min="1522" max="1536" width="9.140625" style="4"/>
    <col min="1537" max="1537" width="6.85546875" style="4" customWidth="1"/>
    <col min="1538" max="1538" width="54.85546875" style="4" customWidth="1"/>
    <col min="1539" max="1539" width="0" style="4" hidden="1" customWidth="1"/>
    <col min="1540" max="1540" width="12.7109375" style="4" customWidth="1"/>
    <col min="1541" max="1541" width="13.85546875" style="4" customWidth="1"/>
    <col min="1542" max="1542" width="19.42578125" style="4" customWidth="1"/>
    <col min="1543" max="1543" width="9.28515625" style="4" customWidth="1"/>
    <col min="1544" max="1544" width="11.85546875" style="4" customWidth="1"/>
    <col min="1545" max="1545" width="16.42578125" style="4" customWidth="1"/>
    <col min="1546" max="1546" width="0" style="4" hidden="1" customWidth="1"/>
    <col min="1547" max="1547" width="16.5703125" style="4" customWidth="1"/>
    <col min="1548" max="1549" width="0" style="4" hidden="1" customWidth="1"/>
    <col min="1550" max="1551" width="16.5703125" style="4" customWidth="1"/>
    <col min="1552" max="1552" width="5.140625" style="4" customWidth="1"/>
    <col min="1553" max="1553" width="16.5703125" style="4" customWidth="1"/>
    <col min="1554" max="1554" width="5.140625" style="4" customWidth="1"/>
    <col min="1555" max="1555" width="16.5703125" style="4" customWidth="1"/>
    <col min="1556" max="1556" width="5.140625" style="4" customWidth="1"/>
    <col min="1557" max="1557" width="16.5703125" style="4" customWidth="1"/>
    <col min="1558" max="1558" width="5.140625" style="4" customWidth="1"/>
    <col min="1559" max="1559" width="15.28515625" style="4" customWidth="1"/>
    <col min="1560" max="1560" width="4.7109375" style="4" customWidth="1"/>
    <col min="1561" max="1561" width="0" style="4" hidden="1" customWidth="1"/>
    <col min="1562" max="1562" width="6.5703125" style="4" customWidth="1"/>
    <col min="1563" max="1563" width="10.5703125" style="4" customWidth="1"/>
    <col min="1564" max="1564" width="17.42578125" style="4" customWidth="1"/>
    <col min="1565" max="1565" width="7.7109375" style="4" customWidth="1"/>
    <col min="1566" max="1566" width="15.42578125" style="4" customWidth="1"/>
    <col min="1567" max="1567" width="16.42578125" style="4" customWidth="1"/>
    <col min="1568" max="1568" width="17.28515625" style="4" customWidth="1"/>
    <col min="1569" max="1569" width="0" style="4" hidden="1" customWidth="1"/>
    <col min="1570" max="1570" width="19" style="4" customWidth="1"/>
    <col min="1571" max="1573" width="26" style="4" customWidth="1"/>
    <col min="1574" max="1574" width="35.42578125" style="4" customWidth="1"/>
    <col min="1575" max="1575" width="27.5703125" style="4" customWidth="1"/>
    <col min="1576" max="1576" width="9.140625" style="4" customWidth="1"/>
    <col min="1577" max="1577" width="26.7109375" style="4" customWidth="1"/>
    <col min="1578" max="1578" width="17.28515625" style="4" customWidth="1"/>
    <col min="1579" max="1744" width="9.140625" style="4" customWidth="1"/>
    <col min="1745" max="1746" width="3" style="4" customWidth="1"/>
    <col min="1747" max="1747" width="4.42578125" style="4" bestFit="1" customWidth="1"/>
    <col min="1748" max="1748" width="59.140625" style="4" customWidth="1"/>
    <col min="1749" max="1749" width="0" style="4" hidden="1" customWidth="1"/>
    <col min="1750" max="1750" width="12.7109375" style="4" customWidth="1"/>
    <col min="1751" max="1751" width="8.28515625" style="4" customWidth="1"/>
    <col min="1752" max="1752" width="14.42578125" style="4" customWidth="1"/>
    <col min="1753" max="1753" width="7.28515625" style="4" customWidth="1"/>
    <col min="1754" max="1754" width="9.5703125" style="4" customWidth="1"/>
    <col min="1755" max="1755" width="17" style="4" customWidth="1"/>
    <col min="1756" max="1756" width="0" style="4" hidden="1" customWidth="1"/>
    <col min="1757" max="1757" width="15.140625" style="4" customWidth="1"/>
    <col min="1758" max="1758" width="13.85546875" style="4" customWidth="1"/>
    <col min="1759" max="1759" width="4.42578125" style="4" customWidth="1"/>
    <col min="1760" max="1760" width="12.28515625" style="4" customWidth="1"/>
    <col min="1761" max="1761" width="6" style="4" customWidth="1"/>
    <col min="1762" max="1762" width="19.85546875" style="4" customWidth="1"/>
    <col min="1763" max="1763" width="5.140625" style="4" customWidth="1"/>
    <col min="1764" max="1764" width="17.28515625" style="4" bestFit="1" customWidth="1"/>
    <col min="1765" max="1766" width="0" style="4" hidden="1" customWidth="1"/>
    <col min="1767" max="1767" width="5.85546875" style="4" customWidth="1"/>
    <col min="1768" max="1768" width="10.28515625" style="4" customWidth="1"/>
    <col min="1769" max="1769" width="15.42578125" style="4" customWidth="1"/>
    <col min="1770" max="1770" width="11.85546875" style="4" customWidth="1"/>
    <col min="1771" max="1771" width="16.42578125" style="4" customWidth="1"/>
    <col min="1772" max="1772" width="17.28515625" style="4" customWidth="1"/>
    <col min="1773" max="1773" width="19" style="4" bestFit="1" customWidth="1"/>
    <col min="1774" max="1774" width="20" style="4" customWidth="1"/>
    <col min="1775" max="1775" width="18.7109375" style="4" bestFit="1" customWidth="1"/>
    <col min="1776" max="1776" width="17.85546875" style="4" bestFit="1" customWidth="1"/>
    <col min="1777" max="1777" width="16.42578125" style="4" bestFit="1" customWidth="1"/>
    <col min="1778" max="1792" width="9.140625" style="4"/>
    <col min="1793" max="1793" width="6.85546875" style="4" customWidth="1"/>
    <col min="1794" max="1794" width="54.85546875" style="4" customWidth="1"/>
    <col min="1795" max="1795" width="0" style="4" hidden="1" customWidth="1"/>
    <col min="1796" max="1796" width="12.7109375" style="4" customWidth="1"/>
    <col min="1797" max="1797" width="13.85546875" style="4" customWidth="1"/>
    <col min="1798" max="1798" width="19.42578125" style="4" customWidth="1"/>
    <col min="1799" max="1799" width="9.28515625" style="4" customWidth="1"/>
    <col min="1800" max="1800" width="11.85546875" style="4" customWidth="1"/>
    <col min="1801" max="1801" width="16.42578125" style="4" customWidth="1"/>
    <col min="1802" max="1802" width="0" style="4" hidden="1" customWidth="1"/>
    <col min="1803" max="1803" width="16.5703125" style="4" customWidth="1"/>
    <col min="1804" max="1805" width="0" style="4" hidden="1" customWidth="1"/>
    <col min="1806" max="1807" width="16.5703125" style="4" customWidth="1"/>
    <col min="1808" max="1808" width="5.140625" style="4" customWidth="1"/>
    <col min="1809" max="1809" width="16.5703125" style="4" customWidth="1"/>
    <col min="1810" max="1810" width="5.140625" style="4" customWidth="1"/>
    <col min="1811" max="1811" width="16.5703125" style="4" customWidth="1"/>
    <col min="1812" max="1812" width="5.140625" style="4" customWidth="1"/>
    <col min="1813" max="1813" width="16.5703125" style="4" customWidth="1"/>
    <col min="1814" max="1814" width="5.140625" style="4" customWidth="1"/>
    <col min="1815" max="1815" width="15.28515625" style="4" customWidth="1"/>
    <col min="1816" max="1816" width="4.7109375" style="4" customWidth="1"/>
    <col min="1817" max="1817" width="0" style="4" hidden="1" customWidth="1"/>
    <col min="1818" max="1818" width="6.5703125" style="4" customWidth="1"/>
    <col min="1819" max="1819" width="10.5703125" style="4" customWidth="1"/>
    <col min="1820" max="1820" width="17.42578125" style="4" customWidth="1"/>
    <col min="1821" max="1821" width="7.7109375" style="4" customWidth="1"/>
    <col min="1822" max="1822" width="15.42578125" style="4" customWidth="1"/>
    <col min="1823" max="1823" width="16.42578125" style="4" customWidth="1"/>
    <col min="1824" max="1824" width="17.28515625" style="4" customWidth="1"/>
    <col min="1825" max="1825" width="0" style="4" hidden="1" customWidth="1"/>
    <col min="1826" max="1826" width="19" style="4" customWidth="1"/>
    <col min="1827" max="1829" width="26" style="4" customWidth="1"/>
    <col min="1830" max="1830" width="35.42578125" style="4" customWidth="1"/>
    <col min="1831" max="1831" width="27.5703125" style="4" customWidth="1"/>
    <col min="1832" max="1832" width="9.140625" style="4" customWidth="1"/>
    <col min="1833" max="1833" width="26.7109375" style="4" customWidth="1"/>
    <col min="1834" max="1834" width="17.28515625" style="4" customWidth="1"/>
    <col min="1835" max="2000" width="9.140625" style="4" customWidth="1"/>
    <col min="2001" max="2002" width="3" style="4" customWidth="1"/>
    <col min="2003" max="2003" width="4.42578125" style="4" bestFit="1" customWidth="1"/>
    <col min="2004" max="2004" width="59.140625" style="4" customWidth="1"/>
    <col min="2005" max="2005" width="0" style="4" hidden="1" customWidth="1"/>
    <col min="2006" max="2006" width="12.7109375" style="4" customWidth="1"/>
    <col min="2007" max="2007" width="8.28515625" style="4" customWidth="1"/>
    <col min="2008" max="2008" width="14.42578125" style="4" customWidth="1"/>
    <col min="2009" max="2009" width="7.28515625" style="4" customWidth="1"/>
    <col min="2010" max="2010" width="9.5703125" style="4" customWidth="1"/>
    <col min="2011" max="2011" width="17" style="4" customWidth="1"/>
    <col min="2012" max="2012" width="0" style="4" hidden="1" customWidth="1"/>
    <col min="2013" max="2013" width="15.140625" style="4" customWidth="1"/>
    <col min="2014" max="2014" width="13.85546875" style="4" customWidth="1"/>
    <col min="2015" max="2015" width="4.42578125" style="4" customWidth="1"/>
    <col min="2016" max="2016" width="12.28515625" style="4" customWidth="1"/>
    <col min="2017" max="2017" width="6" style="4" customWidth="1"/>
    <col min="2018" max="2018" width="19.85546875" style="4" customWidth="1"/>
    <col min="2019" max="2019" width="5.140625" style="4" customWidth="1"/>
    <col min="2020" max="2020" width="17.28515625" style="4" bestFit="1" customWidth="1"/>
    <col min="2021" max="2022" width="0" style="4" hidden="1" customWidth="1"/>
    <col min="2023" max="2023" width="5.85546875" style="4" customWidth="1"/>
    <col min="2024" max="2024" width="10.28515625" style="4" customWidth="1"/>
    <col min="2025" max="2025" width="15.42578125" style="4" customWidth="1"/>
    <col min="2026" max="2026" width="11.85546875" style="4" customWidth="1"/>
    <col min="2027" max="2027" width="16.42578125" style="4" customWidth="1"/>
    <col min="2028" max="2028" width="17.28515625" style="4" customWidth="1"/>
    <col min="2029" max="2029" width="19" style="4" bestFit="1" customWidth="1"/>
    <col min="2030" max="2030" width="20" style="4" customWidth="1"/>
    <col min="2031" max="2031" width="18.7109375" style="4" bestFit="1" customWidth="1"/>
    <col min="2032" max="2032" width="17.85546875" style="4" bestFit="1" customWidth="1"/>
    <col min="2033" max="2033" width="16.42578125" style="4" bestFit="1" customWidth="1"/>
    <col min="2034" max="2048" width="9.140625" style="4"/>
    <col min="2049" max="2049" width="6.85546875" style="4" customWidth="1"/>
    <col min="2050" max="2050" width="54.85546875" style="4" customWidth="1"/>
    <col min="2051" max="2051" width="0" style="4" hidden="1" customWidth="1"/>
    <col min="2052" max="2052" width="12.7109375" style="4" customWidth="1"/>
    <col min="2053" max="2053" width="13.85546875" style="4" customWidth="1"/>
    <col min="2054" max="2054" width="19.42578125" style="4" customWidth="1"/>
    <col min="2055" max="2055" width="9.28515625" style="4" customWidth="1"/>
    <col min="2056" max="2056" width="11.85546875" style="4" customWidth="1"/>
    <col min="2057" max="2057" width="16.42578125" style="4" customWidth="1"/>
    <col min="2058" max="2058" width="0" style="4" hidden="1" customWidth="1"/>
    <col min="2059" max="2059" width="16.5703125" style="4" customWidth="1"/>
    <col min="2060" max="2061" width="0" style="4" hidden="1" customWidth="1"/>
    <col min="2062" max="2063" width="16.5703125" style="4" customWidth="1"/>
    <col min="2064" max="2064" width="5.140625" style="4" customWidth="1"/>
    <col min="2065" max="2065" width="16.5703125" style="4" customWidth="1"/>
    <col min="2066" max="2066" width="5.140625" style="4" customWidth="1"/>
    <col min="2067" max="2067" width="16.5703125" style="4" customWidth="1"/>
    <col min="2068" max="2068" width="5.140625" style="4" customWidth="1"/>
    <col min="2069" max="2069" width="16.5703125" style="4" customWidth="1"/>
    <col min="2070" max="2070" width="5.140625" style="4" customWidth="1"/>
    <col min="2071" max="2071" width="15.28515625" style="4" customWidth="1"/>
    <col min="2072" max="2072" width="4.7109375" style="4" customWidth="1"/>
    <col min="2073" max="2073" width="0" style="4" hidden="1" customWidth="1"/>
    <col min="2074" max="2074" width="6.5703125" style="4" customWidth="1"/>
    <col min="2075" max="2075" width="10.5703125" style="4" customWidth="1"/>
    <col min="2076" max="2076" width="17.42578125" style="4" customWidth="1"/>
    <col min="2077" max="2077" width="7.7109375" style="4" customWidth="1"/>
    <col min="2078" max="2078" width="15.42578125" style="4" customWidth="1"/>
    <col min="2079" max="2079" width="16.42578125" style="4" customWidth="1"/>
    <col min="2080" max="2080" width="17.28515625" style="4" customWidth="1"/>
    <col min="2081" max="2081" width="0" style="4" hidden="1" customWidth="1"/>
    <col min="2082" max="2082" width="19" style="4" customWidth="1"/>
    <col min="2083" max="2085" width="26" style="4" customWidth="1"/>
    <col min="2086" max="2086" width="35.42578125" style="4" customWidth="1"/>
    <col min="2087" max="2087" width="27.5703125" style="4" customWidth="1"/>
    <col min="2088" max="2088" width="9.140625" style="4" customWidth="1"/>
    <col min="2089" max="2089" width="26.7109375" style="4" customWidth="1"/>
    <col min="2090" max="2090" width="17.28515625" style="4" customWidth="1"/>
    <col min="2091" max="2256" width="9.140625" style="4" customWidth="1"/>
    <col min="2257" max="2258" width="3" style="4" customWidth="1"/>
    <col min="2259" max="2259" width="4.42578125" style="4" bestFit="1" customWidth="1"/>
    <col min="2260" max="2260" width="59.140625" style="4" customWidth="1"/>
    <col min="2261" max="2261" width="0" style="4" hidden="1" customWidth="1"/>
    <col min="2262" max="2262" width="12.7109375" style="4" customWidth="1"/>
    <col min="2263" max="2263" width="8.28515625" style="4" customWidth="1"/>
    <col min="2264" max="2264" width="14.42578125" style="4" customWidth="1"/>
    <col min="2265" max="2265" width="7.28515625" style="4" customWidth="1"/>
    <col min="2266" max="2266" width="9.5703125" style="4" customWidth="1"/>
    <col min="2267" max="2267" width="17" style="4" customWidth="1"/>
    <col min="2268" max="2268" width="0" style="4" hidden="1" customWidth="1"/>
    <col min="2269" max="2269" width="15.140625" style="4" customWidth="1"/>
    <col min="2270" max="2270" width="13.85546875" style="4" customWidth="1"/>
    <col min="2271" max="2271" width="4.42578125" style="4" customWidth="1"/>
    <col min="2272" max="2272" width="12.28515625" style="4" customWidth="1"/>
    <col min="2273" max="2273" width="6" style="4" customWidth="1"/>
    <col min="2274" max="2274" width="19.85546875" style="4" customWidth="1"/>
    <col min="2275" max="2275" width="5.140625" style="4" customWidth="1"/>
    <col min="2276" max="2276" width="17.28515625" style="4" bestFit="1" customWidth="1"/>
    <col min="2277" max="2278" width="0" style="4" hidden="1" customWidth="1"/>
    <col min="2279" max="2279" width="5.85546875" style="4" customWidth="1"/>
    <col min="2280" max="2280" width="10.28515625" style="4" customWidth="1"/>
    <col min="2281" max="2281" width="15.42578125" style="4" customWidth="1"/>
    <col min="2282" max="2282" width="11.85546875" style="4" customWidth="1"/>
    <col min="2283" max="2283" width="16.42578125" style="4" customWidth="1"/>
    <col min="2284" max="2284" width="17.28515625" style="4" customWidth="1"/>
    <col min="2285" max="2285" width="19" style="4" bestFit="1" customWidth="1"/>
    <col min="2286" max="2286" width="20" style="4" customWidth="1"/>
    <col min="2287" max="2287" width="18.7109375" style="4" bestFit="1" customWidth="1"/>
    <col min="2288" max="2288" width="17.85546875" style="4" bestFit="1" customWidth="1"/>
    <col min="2289" max="2289" width="16.42578125" style="4" bestFit="1" customWidth="1"/>
    <col min="2290" max="2304" width="9.140625" style="4"/>
    <col min="2305" max="2305" width="6.85546875" style="4" customWidth="1"/>
    <col min="2306" max="2306" width="54.85546875" style="4" customWidth="1"/>
    <col min="2307" max="2307" width="0" style="4" hidden="1" customWidth="1"/>
    <col min="2308" max="2308" width="12.7109375" style="4" customWidth="1"/>
    <col min="2309" max="2309" width="13.85546875" style="4" customWidth="1"/>
    <col min="2310" max="2310" width="19.42578125" style="4" customWidth="1"/>
    <col min="2311" max="2311" width="9.28515625" style="4" customWidth="1"/>
    <col min="2312" max="2312" width="11.85546875" style="4" customWidth="1"/>
    <col min="2313" max="2313" width="16.42578125" style="4" customWidth="1"/>
    <col min="2314" max="2314" width="0" style="4" hidden="1" customWidth="1"/>
    <col min="2315" max="2315" width="16.5703125" style="4" customWidth="1"/>
    <col min="2316" max="2317" width="0" style="4" hidden="1" customWidth="1"/>
    <col min="2318" max="2319" width="16.5703125" style="4" customWidth="1"/>
    <col min="2320" max="2320" width="5.140625" style="4" customWidth="1"/>
    <col min="2321" max="2321" width="16.5703125" style="4" customWidth="1"/>
    <col min="2322" max="2322" width="5.140625" style="4" customWidth="1"/>
    <col min="2323" max="2323" width="16.5703125" style="4" customWidth="1"/>
    <col min="2324" max="2324" width="5.140625" style="4" customWidth="1"/>
    <col min="2325" max="2325" width="16.5703125" style="4" customWidth="1"/>
    <col min="2326" max="2326" width="5.140625" style="4" customWidth="1"/>
    <col min="2327" max="2327" width="15.28515625" style="4" customWidth="1"/>
    <col min="2328" max="2328" width="4.7109375" style="4" customWidth="1"/>
    <col min="2329" max="2329" width="0" style="4" hidden="1" customWidth="1"/>
    <col min="2330" max="2330" width="6.5703125" style="4" customWidth="1"/>
    <col min="2331" max="2331" width="10.5703125" style="4" customWidth="1"/>
    <col min="2332" max="2332" width="17.42578125" style="4" customWidth="1"/>
    <col min="2333" max="2333" width="7.7109375" style="4" customWidth="1"/>
    <col min="2334" max="2334" width="15.42578125" style="4" customWidth="1"/>
    <col min="2335" max="2335" width="16.42578125" style="4" customWidth="1"/>
    <col min="2336" max="2336" width="17.28515625" style="4" customWidth="1"/>
    <col min="2337" max="2337" width="0" style="4" hidden="1" customWidth="1"/>
    <col min="2338" max="2338" width="19" style="4" customWidth="1"/>
    <col min="2339" max="2341" width="26" style="4" customWidth="1"/>
    <col min="2342" max="2342" width="35.42578125" style="4" customWidth="1"/>
    <col min="2343" max="2343" width="27.5703125" style="4" customWidth="1"/>
    <col min="2344" max="2344" width="9.140625" style="4" customWidth="1"/>
    <col min="2345" max="2345" width="26.7109375" style="4" customWidth="1"/>
    <col min="2346" max="2346" width="17.28515625" style="4" customWidth="1"/>
    <col min="2347" max="2512" width="9.140625" style="4" customWidth="1"/>
    <col min="2513" max="2514" width="3" style="4" customWidth="1"/>
    <col min="2515" max="2515" width="4.42578125" style="4" bestFit="1" customWidth="1"/>
    <col min="2516" max="2516" width="59.140625" style="4" customWidth="1"/>
    <col min="2517" max="2517" width="0" style="4" hidden="1" customWidth="1"/>
    <col min="2518" max="2518" width="12.7109375" style="4" customWidth="1"/>
    <col min="2519" max="2519" width="8.28515625" style="4" customWidth="1"/>
    <col min="2520" max="2520" width="14.42578125" style="4" customWidth="1"/>
    <col min="2521" max="2521" width="7.28515625" style="4" customWidth="1"/>
    <col min="2522" max="2522" width="9.5703125" style="4" customWidth="1"/>
    <col min="2523" max="2523" width="17" style="4" customWidth="1"/>
    <col min="2524" max="2524" width="0" style="4" hidden="1" customWidth="1"/>
    <col min="2525" max="2525" width="15.140625" style="4" customWidth="1"/>
    <col min="2526" max="2526" width="13.85546875" style="4" customWidth="1"/>
    <col min="2527" max="2527" width="4.42578125" style="4" customWidth="1"/>
    <col min="2528" max="2528" width="12.28515625" style="4" customWidth="1"/>
    <col min="2529" max="2529" width="6" style="4" customWidth="1"/>
    <col min="2530" max="2530" width="19.85546875" style="4" customWidth="1"/>
    <col min="2531" max="2531" width="5.140625" style="4" customWidth="1"/>
    <col min="2532" max="2532" width="17.28515625" style="4" bestFit="1" customWidth="1"/>
    <col min="2533" max="2534" width="0" style="4" hidden="1" customWidth="1"/>
    <col min="2535" max="2535" width="5.85546875" style="4" customWidth="1"/>
    <col min="2536" max="2536" width="10.28515625" style="4" customWidth="1"/>
    <col min="2537" max="2537" width="15.42578125" style="4" customWidth="1"/>
    <col min="2538" max="2538" width="11.85546875" style="4" customWidth="1"/>
    <col min="2539" max="2539" width="16.42578125" style="4" customWidth="1"/>
    <col min="2540" max="2540" width="17.28515625" style="4" customWidth="1"/>
    <col min="2541" max="2541" width="19" style="4" bestFit="1" customWidth="1"/>
    <col min="2542" max="2542" width="20" style="4" customWidth="1"/>
    <col min="2543" max="2543" width="18.7109375" style="4" bestFit="1" customWidth="1"/>
    <col min="2544" max="2544" width="17.85546875" style="4" bestFit="1" customWidth="1"/>
    <col min="2545" max="2545" width="16.42578125" style="4" bestFit="1" customWidth="1"/>
    <col min="2546" max="2560" width="9.140625" style="4"/>
    <col min="2561" max="2561" width="6.85546875" style="4" customWidth="1"/>
    <col min="2562" max="2562" width="54.85546875" style="4" customWidth="1"/>
    <col min="2563" max="2563" width="0" style="4" hidden="1" customWidth="1"/>
    <col min="2564" max="2564" width="12.7109375" style="4" customWidth="1"/>
    <col min="2565" max="2565" width="13.85546875" style="4" customWidth="1"/>
    <col min="2566" max="2566" width="19.42578125" style="4" customWidth="1"/>
    <col min="2567" max="2567" width="9.28515625" style="4" customWidth="1"/>
    <col min="2568" max="2568" width="11.85546875" style="4" customWidth="1"/>
    <col min="2569" max="2569" width="16.42578125" style="4" customWidth="1"/>
    <col min="2570" max="2570" width="0" style="4" hidden="1" customWidth="1"/>
    <col min="2571" max="2571" width="16.5703125" style="4" customWidth="1"/>
    <col min="2572" max="2573" width="0" style="4" hidden="1" customWidth="1"/>
    <col min="2574" max="2575" width="16.5703125" style="4" customWidth="1"/>
    <col min="2576" max="2576" width="5.140625" style="4" customWidth="1"/>
    <col min="2577" max="2577" width="16.5703125" style="4" customWidth="1"/>
    <col min="2578" max="2578" width="5.140625" style="4" customWidth="1"/>
    <col min="2579" max="2579" width="16.5703125" style="4" customWidth="1"/>
    <col min="2580" max="2580" width="5.140625" style="4" customWidth="1"/>
    <col min="2581" max="2581" width="16.5703125" style="4" customWidth="1"/>
    <col min="2582" max="2582" width="5.140625" style="4" customWidth="1"/>
    <col min="2583" max="2583" width="15.28515625" style="4" customWidth="1"/>
    <col min="2584" max="2584" width="4.7109375" style="4" customWidth="1"/>
    <col min="2585" max="2585" width="0" style="4" hidden="1" customWidth="1"/>
    <col min="2586" max="2586" width="6.5703125" style="4" customWidth="1"/>
    <col min="2587" max="2587" width="10.5703125" style="4" customWidth="1"/>
    <col min="2588" max="2588" width="17.42578125" style="4" customWidth="1"/>
    <col min="2589" max="2589" width="7.7109375" style="4" customWidth="1"/>
    <col min="2590" max="2590" width="15.42578125" style="4" customWidth="1"/>
    <col min="2591" max="2591" width="16.42578125" style="4" customWidth="1"/>
    <col min="2592" max="2592" width="17.28515625" style="4" customWidth="1"/>
    <col min="2593" max="2593" width="0" style="4" hidden="1" customWidth="1"/>
    <col min="2594" max="2594" width="19" style="4" customWidth="1"/>
    <col min="2595" max="2597" width="26" style="4" customWidth="1"/>
    <col min="2598" max="2598" width="35.42578125" style="4" customWidth="1"/>
    <col min="2599" max="2599" width="27.5703125" style="4" customWidth="1"/>
    <col min="2600" max="2600" width="9.140625" style="4" customWidth="1"/>
    <col min="2601" max="2601" width="26.7109375" style="4" customWidth="1"/>
    <col min="2602" max="2602" width="17.28515625" style="4" customWidth="1"/>
    <col min="2603" max="2768" width="9.140625" style="4" customWidth="1"/>
    <col min="2769" max="2770" width="3" style="4" customWidth="1"/>
    <col min="2771" max="2771" width="4.42578125" style="4" bestFit="1" customWidth="1"/>
    <col min="2772" max="2772" width="59.140625" style="4" customWidth="1"/>
    <col min="2773" max="2773" width="0" style="4" hidden="1" customWidth="1"/>
    <col min="2774" max="2774" width="12.7109375" style="4" customWidth="1"/>
    <col min="2775" max="2775" width="8.28515625" style="4" customWidth="1"/>
    <col min="2776" max="2776" width="14.42578125" style="4" customWidth="1"/>
    <col min="2777" max="2777" width="7.28515625" style="4" customWidth="1"/>
    <col min="2778" max="2778" width="9.5703125" style="4" customWidth="1"/>
    <col min="2779" max="2779" width="17" style="4" customWidth="1"/>
    <col min="2780" max="2780" width="0" style="4" hidden="1" customWidth="1"/>
    <col min="2781" max="2781" width="15.140625" style="4" customWidth="1"/>
    <col min="2782" max="2782" width="13.85546875" style="4" customWidth="1"/>
    <col min="2783" max="2783" width="4.42578125" style="4" customWidth="1"/>
    <col min="2784" max="2784" width="12.28515625" style="4" customWidth="1"/>
    <col min="2785" max="2785" width="6" style="4" customWidth="1"/>
    <col min="2786" max="2786" width="19.85546875" style="4" customWidth="1"/>
    <col min="2787" max="2787" width="5.140625" style="4" customWidth="1"/>
    <col min="2788" max="2788" width="17.28515625" style="4" bestFit="1" customWidth="1"/>
    <col min="2789" max="2790" width="0" style="4" hidden="1" customWidth="1"/>
    <col min="2791" max="2791" width="5.85546875" style="4" customWidth="1"/>
    <col min="2792" max="2792" width="10.28515625" style="4" customWidth="1"/>
    <col min="2793" max="2793" width="15.42578125" style="4" customWidth="1"/>
    <col min="2794" max="2794" width="11.85546875" style="4" customWidth="1"/>
    <col min="2795" max="2795" width="16.42578125" style="4" customWidth="1"/>
    <col min="2796" max="2796" width="17.28515625" style="4" customWidth="1"/>
    <col min="2797" max="2797" width="19" style="4" bestFit="1" customWidth="1"/>
    <col min="2798" max="2798" width="20" style="4" customWidth="1"/>
    <col min="2799" max="2799" width="18.7109375" style="4" bestFit="1" customWidth="1"/>
    <col min="2800" max="2800" width="17.85546875" style="4" bestFit="1" customWidth="1"/>
    <col min="2801" max="2801" width="16.42578125" style="4" bestFit="1" customWidth="1"/>
    <col min="2802" max="2816" width="9.140625" style="4"/>
    <col min="2817" max="2817" width="6.85546875" style="4" customWidth="1"/>
    <col min="2818" max="2818" width="54.85546875" style="4" customWidth="1"/>
    <col min="2819" max="2819" width="0" style="4" hidden="1" customWidth="1"/>
    <col min="2820" max="2820" width="12.7109375" style="4" customWidth="1"/>
    <col min="2821" max="2821" width="13.85546875" style="4" customWidth="1"/>
    <col min="2822" max="2822" width="19.42578125" style="4" customWidth="1"/>
    <col min="2823" max="2823" width="9.28515625" style="4" customWidth="1"/>
    <col min="2824" max="2824" width="11.85546875" style="4" customWidth="1"/>
    <col min="2825" max="2825" width="16.42578125" style="4" customWidth="1"/>
    <col min="2826" max="2826" width="0" style="4" hidden="1" customWidth="1"/>
    <col min="2827" max="2827" width="16.5703125" style="4" customWidth="1"/>
    <col min="2828" max="2829" width="0" style="4" hidden="1" customWidth="1"/>
    <col min="2830" max="2831" width="16.5703125" style="4" customWidth="1"/>
    <col min="2832" max="2832" width="5.140625" style="4" customWidth="1"/>
    <col min="2833" max="2833" width="16.5703125" style="4" customWidth="1"/>
    <col min="2834" max="2834" width="5.140625" style="4" customWidth="1"/>
    <col min="2835" max="2835" width="16.5703125" style="4" customWidth="1"/>
    <col min="2836" max="2836" width="5.140625" style="4" customWidth="1"/>
    <col min="2837" max="2837" width="16.5703125" style="4" customWidth="1"/>
    <col min="2838" max="2838" width="5.140625" style="4" customWidth="1"/>
    <col min="2839" max="2839" width="15.28515625" style="4" customWidth="1"/>
    <col min="2840" max="2840" width="4.7109375" style="4" customWidth="1"/>
    <col min="2841" max="2841" width="0" style="4" hidden="1" customWidth="1"/>
    <col min="2842" max="2842" width="6.5703125" style="4" customWidth="1"/>
    <col min="2843" max="2843" width="10.5703125" style="4" customWidth="1"/>
    <col min="2844" max="2844" width="17.42578125" style="4" customWidth="1"/>
    <col min="2845" max="2845" width="7.7109375" style="4" customWidth="1"/>
    <col min="2846" max="2846" width="15.42578125" style="4" customWidth="1"/>
    <col min="2847" max="2847" width="16.42578125" style="4" customWidth="1"/>
    <col min="2848" max="2848" width="17.28515625" style="4" customWidth="1"/>
    <col min="2849" max="2849" width="0" style="4" hidden="1" customWidth="1"/>
    <col min="2850" max="2850" width="19" style="4" customWidth="1"/>
    <col min="2851" max="2853" width="26" style="4" customWidth="1"/>
    <col min="2854" max="2854" width="35.42578125" style="4" customWidth="1"/>
    <col min="2855" max="2855" width="27.5703125" style="4" customWidth="1"/>
    <col min="2856" max="2856" width="9.140625" style="4" customWidth="1"/>
    <col min="2857" max="2857" width="26.7109375" style="4" customWidth="1"/>
    <col min="2858" max="2858" width="17.28515625" style="4" customWidth="1"/>
    <col min="2859" max="3024" width="9.140625" style="4" customWidth="1"/>
    <col min="3025" max="3026" width="3" style="4" customWidth="1"/>
    <col min="3027" max="3027" width="4.42578125" style="4" bestFit="1" customWidth="1"/>
    <col min="3028" max="3028" width="59.140625" style="4" customWidth="1"/>
    <col min="3029" max="3029" width="0" style="4" hidden="1" customWidth="1"/>
    <col min="3030" max="3030" width="12.7109375" style="4" customWidth="1"/>
    <col min="3031" max="3031" width="8.28515625" style="4" customWidth="1"/>
    <col min="3032" max="3032" width="14.42578125" style="4" customWidth="1"/>
    <col min="3033" max="3033" width="7.28515625" style="4" customWidth="1"/>
    <col min="3034" max="3034" width="9.5703125" style="4" customWidth="1"/>
    <col min="3035" max="3035" width="17" style="4" customWidth="1"/>
    <col min="3036" max="3036" width="0" style="4" hidden="1" customWidth="1"/>
    <col min="3037" max="3037" width="15.140625" style="4" customWidth="1"/>
    <col min="3038" max="3038" width="13.85546875" style="4" customWidth="1"/>
    <col min="3039" max="3039" width="4.42578125" style="4" customWidth="1"/>
    <col min="3040" max="3040" width="12.28515625" style="4" customWidth="1"/>
    <col min="3041" max="3041" width="6" style="4" customWidth="1"/>
    <col min="3042" max="3042" width="19.85546875" style="4" customWidth="1"/>
    <col min="3043" max="3043" width="5.140625" style="4" customWidth="1"/>
    <col min="3044" max="3044" width="17.28515625" style="4" bestFit="1" customWidth="1"/>
    <col min="3045" max="3046" width="0" style="4" hidden="1" customWidth="1"/>
    <col min="3047" max="3047" width="5.85546875" style="4" customWidth="1"/>
    <col min="3048" max="3048" width="10.28515625" style="4" customWidth="1"/>
    <col min="3049" max="3049" width="15.42578125" style="4" customWidth="1"/>
    <col min="3050" max="3050" width="11.85546875" style="4" customWidth="1"/>
    <col min="3051" max="3051" width="16.42578125" style="4" customWidth="1"/>
    <col min="3052" max="3052" width="17.28515625" style="4" customWidth="1"/>
    <col min="3053" max="3053" width="19" style="4" bestFit="1" customWidth="1"/>
    <col min="3054" max="3054" width="20" style="4" customWidth="1"/>
    <col min="3055" max="3055" width="18.7109375" style="4" bestFit="1" customWidth="1"/>
    <col min="3056" max="3056" width="17.85546875" style="4" bestFit="1" customWidth="1"/>
    <col min="3057" max="3057" width="16.42578125" style="4" bestFit="1" customWidth="1"/>
    <col min="3058" max="3072" width="9.140625" style="4"/>
    <col min="3073" max="3073" width="6.85546875" style="4" customWidth="1"/>
    <col min="3074" max="3074" width="54.85546875" style="4" customWidth="1"/>
    <col min="3075" max="3075" width="0" style="4" hidden="1" customWidth="1"/>
    <col min="3076" max="3076" width="12.7109375" style="4" customWidth="1"/>
    <col min="3077" max="3077" width="13.85546875" style="4" customWidth="1"/>
    <col min="3078" max="3078" width="19.42578125" style="4" customWidth="1"/>
    <col min="3079" max="3079" width="9.28515625" style="4" customWidth="1"/>
    <col min="3080" max="3080" width="11.85546875" style="4" customWidth="1"/>
    <col min="3081" max="3081" width="16.42578125" style="4" customWidth="1"/>
    <col min="3082" max="3082" width="0" style="4" hidden="1" customWidth="1"/>
    <col min="3083" max="3083" width="16.5703125" style="4" customWidth="1"/>
    <col min="3084" max="3085" width="0" style="4" hidden="1" customWidth="1"/>
    <col min="3086" max="3087" width="16.5703125" style="4" customWidth="1"/>
    <col min="3088" max="3088" width="5.140625" style="4" customWidth="1"/>
    <col min="3089" max="3089" width="16.5703125" style="4" customWidth="1"/>
    <col min="3090" max="3090" width="5.140625" style="4" customWidth="1"/>
    <col min="3091" max="3091" width="16.5703125" style="4" customWidth="1"/>
    <col min="3092" max="3092" width="5.140625" style="4" customWidth="1"/>
    <col min="3093" max="3093" width="16.5703125" style="4" customWidth="1"/>
    <col min="3094" max="3094" width="5.140625" style="4" customWidth="1"/>
    <col min="3095" max="3095" width="15.28515625" style="4" customWidth="1"/>
    <col min="3096" max="3096" width="4.7109375" style="4" customWidth="1"/>
    <col min="3097" max="3097" width="0" style="4" hidden="1" customWidth="1"/>
    <col min="3098" max="3098" width="6.5703125" style="4" customWidth="1"/>
    <col min="3099" max="3099" width="10.5703125" style="4" customWidth="1"/>
    <col min="3100" max="3100" width="17.42578125" style="4" customWidth="1"/>
    <col min="3101" max="3101" width="7.7109375" style="4" customWidth="1"/>
    <col min="3102" max="3102" width="15.42578125" style="4" customWidth="1"/>
    <col min="3103" max="3103" width="16.42578125" style="4" customWidth="1"/>
    <col min="3104" max="3104" width="17.28515625" style="4" customWidth="1"/>
    <col min="3105" max="3105" width="0" style="4" hidden="1" customWidth="1"/>
    <col min="3106" max="3106" width="19" style="4" customWidth="1"/>
    <col min="3107" max="3109" width="26" style="4" customWidth="1"/>
    <col min="3110" max="3110" width="35.42578125" style="4" customWidth="1"/>
    <col min="3111" max="3111" width="27.5703125" style="4" customWidth="1"/>
    <col min="3112" max="3112" width="9.140625" style="4" customWidth="1"/>
    <col min="3113" max="3113" width="26.7109375" style="4" customWidth="1"/>
    <col min="3114" max="3114" width="17.28515625" style="4" customWidth="1"/>
    <col min="3115" max="3280" width="9.140625" style="4" customWidth="1"/>
    <col min="3281" max="3282" width="3" style="4" customWidth="1"/>
    <col min="3283" max="3283" width="4.42578125" style="4" bestFit="1" customWidth="1"/>
    <col min="3284" max="3284" width="59.140625" style="4" customWidth="1"/>
    <col min="3285" max="3285" width="0" style="4" hidden="1" customWidth="1"/>
    <col min="3286" max="3286" width="12.7109375" style="4" customWidth="1"/>
    <col min="3287" max="3287" width="8.28515625" style="4" customWidth="1"/>
    <col min="3288" max="3288" width="14.42578125" style="4" customWidth="1"/>
    <col min="3289" max="3289" width="7.28515625" style="4" customWidth="1"/>
    <col min="3290" max="3290" width="9.5703125" style="4" customWidth="1"/>
    <col min="3291" max="3291" width="17" style="4" customWidth="1"/>
    <col min="3292" max="3292" width="0" style="4" hidden="1" customWidth="1"/>
    <col min="3293" max="3293" width="15.140625" style="4" customWidth="1"/>
    <col min="3294" max="3294" width="13.85546875" style="4" customWidth="1"/>
    <col min="3295" max="3295" width="4.42578125" style="4" customWidth="1"/>
    <col min="3296" max="3296" width="12.28515625" style="4" customWidth="1"/>
    <col min="3297" max="3297" width="6" style="4" customWidth="1"/>
    <col min="3298" max="3298" width="19.85546875" style="4" customWidth="1"/>
    <col min="3299" max="3299" width="5.140625" style="4" customWidth="1"/>
    <col min="3300" max="3300" width="17.28515625" style="4" bestFit="1" customWidth="1"/>
    <col min="3301" max="3302" width="0" style="4" hidden="1" customWidth="1"/>
    <col min="3303" max="3303" width="5.85546875" style="4" customWidth="1"/>
    <col min="3304" max="3304" width="10.28515625" style="4" customWidth="1"/>
    <col min="3305" max="3305" width="15.42578125" style="4" customWidth="1"/>
    <col min="3306" max="3306" width="11.85546875" style="4" customWidth="1"/>
    <col min="3307" max="3307" width="16.42578125" style="4" customWidth="1"/>
    <col min="3308" max="3308" width="17.28515625" style="4" customWidth="1"/>
    <col min="3309" max="3309" width="19" style="4" bestFit="1" customWidth="1"/>
    <col min="3310" max="3310" width="20" style="4" customWidth="1"/>
    <col min="3311" max="3311" width="18.7109375" style="4" bestFit="1" customWidth="1"/>
    <col min="3312" max="3312" width="17.85546875" style="4" bestFit="1" customWidth="1"/>
    <col min="3313" max="3313" width="16.42578125" style="4" bestFit="1" customWidth="1"/>
    <col min="3314" max="3328" width="9.140625" style="4"/>
    <col min="3329" max="3329" width="6.85546875" style="4" customWidth="1"/>
    <col min="3330" max="3330" width="54.85546875" style="4" customWidth="1"/>
    <col min="3331" max="3331" width="0" style="4" hidden="1" customWidth="1"/>
    <col min="3332" max="3332" width="12.7109375" style="4" customWidth="1"/>
    <col min="3333" max="3333" width="13.85546875" style="4" customWidth="1"/>
    <col min="3334" max="3334" width="19.42578125" style="4" customWidth="1"/>
    <col min="3335" max="3335" width="9.28515625" style="4" customWidth="1"/>
    <col min="3336" max="3336" width="11.85546875" style="4" customWidth="1"/>
    <col min="3337" max="3337" width="16.42578125" style="4" customWidth="1"/>
    <col min="3338" max="3338" width="0" style="4" hidden="1" customWidth="1"/>
    <col min="3339" max="3339" width="16.5703125" style="4" customWidth="1"/>
    <col min="3340" max="3341" width="0" style="4" hidden="1" customWidth="1"/>
    <col min="3342" max="3343" width="16.5703125" style="4" customWidth="1"/>
    <col min="3344" max="3344" width="5.140625" style="4" customWidth="1"/>
    <col min="3345" max="3345" width="16.5703125" style="4" customWidth="1"/>
    <col min="3346" max="3346" width="5.140625" style="4" customWidth="1"/>
    <col min="3347" max="3347" width="16.5703125" style="4" customWidth="1"/>
    <col min="3348" max="3348" width="5.140625" style="4" customWidth="1"/>
    <col min="3349" max="3349" width="16.5703125" style="4" customWidth="1"/>
    <col min="3350" max="3350" width="5.140625" style="4" customWidth="1"/>
    <col min="3351" max="3351" width="15.28515625" style="4" customWidth="1"/>
    <col min="3352" max="3352" width="4.7109375" style="4" customWidth="1"/>
    <col min="3353" max="3353" width="0" style="4" hidden="1" customWidth="1"/>
    <col min="3354" max="3354" width="6.5703125" style="4" customWidth="1"/>
    <col min="3355" max="3355" width="10.5703125" style="4" customWidth="1"/>
    <col min="3356" max="3356" width="17.42578125" style="4" customWidth="1"/>
    <col min="3357" max="3357" width="7.7109375" style="4" customWidth="1"/>
    <col min="3358" max="3358" width="15.42578125" style="4" customWidth="1"/>
    <col min="3359" max="3359" width="16.42578125" style="4" customWidth="1"/>
    <col min="3360" max="3360" width="17.28515625" style="4" customWidth="1"/>
    <col min="3361" max="3361" width="0" style="4" hidden="1" customWidth="1"/>
    <col min="3362" max="3362" width="19" style="4" customWidth="1"/>
    <col min="3363" max="3365" width="26" style="4" customWidth="1"/>
    <col min="3366" max="3366" width="35.42578125" style="4" customWidth="1"/>
    <col min="3367" max="3367" width="27.5703125" style="4" customWidth="1"/>
    <col min="3368" max="3368" width="9.140625" style="4" customWidth="1"/>
    <col min="3369" max="3369" width="26.7109375" style="4" customWidth="1"/>
    <col min="3370" max="3370" width="17.28515625" style="4" customWidth="1"/>
    <col min="3371" max="3536" width="9.140625" style="4" customWidth="1"/>
    <col min="3537" max="3538" width="3" style="4" customWidth="1"/>
    <col min="3539" max="3539" width="4.42578125" style="4" bestFit="1" customWidth="1"/>
    <col min="3540" max="3540" width="59.140625" style="4" customWidth="1"/>
    <col min="3541" max="3541" width="0" style="4" hidden="1" customWidth="1"/>
    <col min="3542" max="3542" width="12.7109375" style="4" customWidth="1"/>
    <col min="3543" max="3543" width="8.28515625" style="4" customWidth="1"/>
    <col min="3544" max="3544" width="14.42578125" style="4" customWidth="1"/>
    <col min="3545" max="3545" width="7.28515625" style="4" customWidth="1"/>
    <col min="3546" max="3546" width="9.5703125" style="4" customWidth="1"/>
    <col min="3547" max="3547" width="17" style="4" customWidth="1"/>
    <col min="3548" max="3548" width="0" style="4" hidden="1" customWidth="1"/>
    <col min="3549" max="3549" width="15.140625" style="4" customWidth="1"/>
    <col min="3550" max="3550" width="13.85546875" style="4" customWidth="1"/>
    <col min="3551" max="3551" width="4.42578125" style="4" customWidth="1"/>
    <col min="3552" max="3552" width="12.28515625" style="4" customWidth="1"/>
    <col min="3553" max="3553" width="6" style="4" customWidth="1"/>
    <col min="3554" max="3554" width="19.85546875" style="4" customWidth="1"/>
    <col min="3555" max="3555" width="5.140625" style="4" customWidth="1"/>
    <col min="3556" max="3556" width="17.28515625" style="4" bestFit="1" customWidth="1"/>
    <col min="3557" max="3558" width="0" style="4" hidden="1" customWidth="1"/>
    <col min="3559" max="3559" width="5.85546875" style="4" customWidth="1"/>
    <col min="3560" max="3560" width="10.28515625" style="4" customWidth="1"/>
    <col min="3561" max="3561" width="15.42578125" style="4" customWidth="1"/>
    <col min="3562" max="3562" width="11.85546875" style="4" customWidth="1"/>
    <col min="3563" max="3563" width="16.42578125" style="4" customWidth="1"/>
    <col min="3564" max="3564" width="17.28515625" style="4" customWidth="1"/>
    <col min="3565" max="3565" width="19" style="4" bestFit="1" customWidth="1"/>
    <col min="3566" max="3566" width="20" style="4" customWidth="1"/>
    <col min="3567" max="3567" width="18.7109375" style="4" bestFit="1" customWidth="1"/>
    <col min="3568" max="3568" width="17.85546875" style="4" bestFit="1" customWidth="1"/>
    <col min="3569" max="3569" width="16.42578125" style="4" bestFit="1" customWidth="1"/>
    <col min="3570" max="3584" width="9.140625" style="4"/>
    <col min="3585" max="3585" width="6.85546875" style="4" customWidth="1"/>
    <col min="3586" max="3586" width="54.85546875" style="4" customWidth="1"/>
    <col min="3587" max="3587" width="0" style="4" hidden="1" customWidth="1"/>
    <col min="3588" max="3588" width="12.7109375" style="4" customWidth="1"/>
    <col min="3589" max="3589" width="13.85546875" style="4" customWidth="1"/>
    <col min="3590" max="3590" width="19.42578125" style="4" customWidth="1"/>
    <col min="3591" max="3591" width="9.28515625" style="4" customWidth="1"/>
    <col min="3592" max="3592" width="11.85546875" style="4" customWidth="1"/>
    <col min="3593" max="3593" width="16.42578125" style="4" customWidth="1"/>
    <col min="3594" max="3594" width="0" style="4" hidden="1" customWidth="1"/>
    <col min="3595" max="3595" width="16.5703125" style="4" customWidth="1"/>
    <col min="3596" max="3597" width="0" style="4" hidden="1" customWidth="1"/>
    <col min="3598" max="3599" width="16.5703125" style="4" customWidth="1"/>
    <col min="3600" max="3600" width="5.140625" style="4" customWidth="1"/>
    <col min="3601" max="3601" width="16.5703125" style="4" customWidth="1"/>
    <col min="3602" max="3602" width="5.140625" style="4" customWidth="1"/>
    <col min="3603" max="3603" width="16.5703125" style="4" customWidth="1"/>
    <col min="3604" max="3604" width="5.140625" style="4" customWidth="1"/>
    <col min="3605" max="3605" width="16.5703125" style="4" customWidth="1"/>
    <col min="3606" max="3606" width="5.140625" style="4" customWidth="1"/>
    <col min="3607" max="3607" width="15.28515625" style="4" customWidth="1"/>
    <col min="3608" max="3608" width="4.7109375" style="4" customWidth="1"/>
    <col min="3609" max="3609" width="0" style="4" hidden="1" customWidth="1"/>
    <col min="3610" max="3610" width="6.5703125" style="4" customWidth="1"/>
    <col min="3611" max="3611" width="10.5703125" style="4" customWidth="1"/>
    <col min="3612" max="3612" width="17.42578125" style="4" customWidth="1"/>
    <col min="3613" max="3613" width="7.7109375" style="4" customWidth="1"/>
    <col min="3614" max="3614" width="15.42578125" style="4" customWidth="1"/>
    <col min="3615" max="3615" width="16.42578125" style="4" customWidth="1"/>
    <col min="3616" max="3616" width="17.28515625" style="4" customWidth="1"/>
    <col min="3617" max="3617" width="0" style="4" hidden="1" customWidth="1"/>
    <col min="3618" max="3618" width="19" style="4" customWidth="1"/>
    <col min="3619" max="3621" width="26" style="4" customWidth="1"/>
    <col min="3622" max="3622" width="35.42578125" style="4" customWidth="1"/>
    <col min="3623" max="3623" width="27.5703125" style="4" customWidth="1"/>
    <col min="3624" max="3624" width="9.140625" style="4" customWidth="1"/>
    <col min="3625" max="3625" width="26.7109375" style="4" customWidth="1"/>
    <col min="3626" max="3626" width="17.28515625" style="4" customWidth="1"/>
    <col min="3627" max="3792" width="9.140625" style="4" customWidth="1"/>
    <col min="3793" max="3794" width="3" style="4" customWidth="1"/>
    <col min="3795" max="3795" width="4.42578125" style="4" bestFit="1" customWidth="1"/>
    <col min="3796" max="3796" width="59.140625" style="4" customWidth="1"/>
    <col min="3797" max="3797" width="0" style="4" hidden="1" customWidth="1"/>
    <col min="3798" max="3798" width="12.7109375" style="4" customWidth="1"/>
    <col min="3799" max="3799" width="8.28515625" style="4" customWidth="1"/>
    <col min="3800" max="3800" width="14.42578125" style="4" customWidth="1"/>
    <col min="3801" max="3801" width="7.28515625" style="4" customWidth="1"/>
    <col min="3802" max="3802" width="9.5703125" style="4" customWidth="1"/>
    <col min="3803" max="3803" width="17" style="4" customWidth="1"/>
    <col min="3804" max="3804" width="0" style="4" hidden="1" customWidth="1"/>
    <col min="3805" max="3805" width="15.140625" style="4" customWidth="1"/>
    <col min="3806" max="3806" width="13.85546875" style="4" customWidth="1"/>
    <col min="3807" max="3807" width="4.42578125" style="4" customWidth="1"/>
    <col min="3808" max="3808" width="12.28515625" style="4" customWidth="1"/>
    <col min="3809" max="3809" width="6" style="4" customWidth="1"/>
    <col min="3810" max="3810" width="19.85546875" style="4" customWidth="1"/>
    <col min="3811" max="3811" width="5.140625" style="4" customWidth="1"/>
    <col min="3812" max="3812" width="17.28515625" style="4" bestFit="1" customWidth="1"/>
    <col min="3813" max="3814" width="0" style="4" hidden="1" customWidth="1"/>
    <col min="3815" max="3815" width="5.85546875" style="4" customWidth="1"/>
    <col min="3816" max="3816" width="10.28515625" style="4" customWidth="1"/>
    <col min="3817" max="3817" width="15.42578125" style="4" customWidth="1"/>
    <col min="3818" max="3818" width="11.85546875" style="4" customWidth="1"/>
    <col min="3819" max="3819" width="16.42578125" style="4" customWidth="1"/>
    <col min="3820" max="3820" width="17.28515625" style="4" customWidth="1"/>
    <col min="3821" max="3821" width="19" style="4" bestFit="1" customWidth="1"/>
    <col min="3822" max="3822" width="20" style="4" customWidth="1"/>
    <col min="3823" max="3823" width="18.7109375" style="4" bestFit="1" customWidth="1"/>
    <col min="3824" max="3824" width="17.85546875" style="4" bestFit="1" customWidth="1"/>
    <col min="3825" max="3825" width="16.42578125" style="4" bestFit="1" customWidth="1"/>
    <col min="3826" max="3840" width="9.140625" style="4"/>
    <col min="3841" max="3841" width="6.85546875" style="4" customWidth="1"/>
    <col min="3842" max="3842" width="54.85546875" style="4" customWidth="1"/>
    <col min="3843" max="3843" width="0" style="4" hidden="1" customWidth="1"/>
    <col min="3844" max="3844" width="12.7109375" style="4" customWidth="1"/>
    <col min="3845" max="3845" width="13.85546875" style="4" customWidth="1"/>
    <col min="3846" max="3846" width="19.42578125" style="4" customWidth="1"/>
    <col min="3847" max="3847" width="9.28515625" style="4" customWidth="1"/>
    <col min="3848" max="3848" width="11.85546875" style="4" customWidth="1"/>
    <col min="3849" max="3849" width="16.42578125" style="4" customWidth="1"/>
    <col min="3850" max="3850" width="0" style="4" hidden="1" customWidth="1"/>
    <col min="3851" max="3851" width="16.5703125" style="4" customWidth="1"/>
    <col min="3852" max="3853" width="0" style="4" hidden="1" customWidth="1"/>
    <col min="3854" max="3855" width="16.5703125" style="4" customWidth="1"/>
    <col min="3856" max="3856" width="5.140625" style="4" customWidth="1"/>
    <col min="3857" max="3857" width="16.5703125" style="4" customWidth="1"/>
    <col min="3858" max="3858" width="5.140625" style="4" customWidth="1"/>
    <col min="3859" max="3859" width="16.5703125" style="4" customWidth="1"/>
    <col min="3860" max="3860" width="5.140625" style="4" customWidth="1"/>
    <col min="3861" max="3861" width="16.5703125" style="4" customWidth="1"/>
    <col min="3862" max="3862" width="5.140625" style="4" customWidth="1"/>
    <col min="3863" max="3863" width="15.28515625" style="4" customWidth="1"/>
    <col min="3864" max="3864" width="4.7109375" style="4" customWidth="1"/>
    <col min="3865" max="3865" width="0" style="4" hidden="1" customWidth="1"/>
    <col min="3866" max="3866" width="6.5703125" style="4" customWidth="1"/>
    <col min="3867" max="3867" width="10.5703125" style="4" customWidth="1"/>
    <col min="3868" max="3868" width="17.42578125" style="4" customWidth="1"/>
    <col min="3869" max="3869" width="7.7109375" style="4" customWidth="1"/>
    <col min="3870" max="3870" width="15.42578125" style="4" customWidth="1"/>
    <col min="3871" max="3871" width="16.42578125" style="4" customWidth="1"/>
    <col min="3872" max="3872" width="17.28515625" style="4" customWidth="1"/>
    <col min="3873" max="3873" width="0" style="4" hidden="1" customWidth="1"/>
    <col min="3874" max="3874" width="19" style="4" customWidth="1"/>
    <col min="3875" max="3877" width="26" style="4" customWidth="1"/>
    <col min="3878" max="3878" width="35.42578125" style="4" customWidth="1"/>
    <col min="3879" max="3879" width="27.5703125" style="4" customWidth="1"/>
    <col min="3880" max="3880" width="9.140625" style="4" customWidth="1"/>
    <col min="3881" max="3881" width="26.7109375" style="4" customWidth="1"/>
    <col min="3882" max="3882" width="17.28515625" style="4" customWidth="1"/>
    <col min="3883" max="4048" width="9.140625" style="4" customWidth="1"/>
    <col min="4049" max="4050" width="3" style="4" customWidth="1"/>
    <col min="4051" max="4051" width="4.42578125" style="4" bestFit="1" customWidth="1"/>
    <col min="4052" max="4052" width="59.140625" style="4" customWidth="1"/>
    <col min="4053" max="4053" width="0" style="4" hidden="1" customWidth="1"/>
    <col min="4054" max="4054" width="12.7109375" style="4" customWidth="1"/>
    <col min="4055" max="4055" width="8.28515625" style="4" customWidth="1"/>
    <col min="4056" max="4056" width="14.42578125" style="4" customWidth="1"/>
    <col min="4057" max="4057" width="7.28515625" style="4" customWidth="1"/>
    <col min="4058" max="4058" width="9.5703125" style="4" customWidth="1"/>
    <col min="4059" max="4059" width="17" style="4" customWidth="1"/>
    <col min="4060" max="4060" width="0" style="4" hidden="1" customWidth="1"/>
    <col min="4061" max="4061" width="15.140625" style="4" customWidth="1"/>
    <col min="4062" max="4062" width="13.85546875" style="4" customWidth="1"/>
    <col min="4063" max="4063" width="4.42578125" style="4" customWidth="1"/>
    <col min="4064" max="4064" width="12.28515625" style="4" customWidth="1"/>
    <col min="4065" max="4065" width="6" style="4" customWidth="1"/>
    <col min="4066" max="4066" width="19.85546875" style="4" customWidth="1"/>
    <col min="4067" max="4067" width="5.140625" style="4" customWidth="1"/>
    <col min="4068" max="4068" width="17.28515625" style="4" bestFit="1" customWidth="1"/>
    <col min="4069" max="4070" width="0" style="4" hidden="1" customWidth="1"/>
    <col min="4071" max="4071" width="5.85546875" style="4" customWidth="1"/>
    <col min="4072" max="4072" width="10.28515625" style="4" customWidth="1"/>
    <col min="4073" max="4073" width="15.42578125" style="4" customWidth="1"/>
    <col min="4074" max="4074" width="11.85546875" style="4" customWidth="1"/>
    <col min="4075" max="4075" width="16.42578125" style="4" customWidth="1"/>
    <col min="4076" max="4076" width="17.28515625" style="4" customWidth="1"/>
    <col min="4077" max="4077" width="19" style="4" bestFit="1" customWidth="1"/>
    <col min="4078" max="4078" width="20" style="4" customWidth="1"/>
    <col min="4079" max="4079" width="18.7109375" style="4" bestFit="1" customWidth="1"/>
    <col min="4080" max="4080" width="17.85546875" style="4" bestFit="1" customWidth="1"/>
    <col min="4081" max="4081" width="16.42578125" style="4" bestFit="1" customWidth="1"/>
    <col min="4082" max="4096" width="9.140625" style="4"/>
    <col min="4097" max="4097" width="6.85546875" style="4" customWidth="1"/>
    <col min="4098" max="4098" width="54.85546875" style="4" customWidth="1"/>
    <col min="4099" max="4099" width="0" style="4" hidden="1" customWidth="1"/>
    <col min="4100" max="4100" width="12.7109375" style="4" customWidth="1"/>
    <col min="4101" max="4101" width="13.85546875" style="4" customWidth="1"/>
    <col min="4102" max="4102" width="19.42578125" style="4" customWidth="1"/>
    <col min="4103" max="4103" width="9.28515625" style="4" customWidth="1"/>
    <col min="4104" max="4104" width="11.85546875" style="4" customWidth="1"/>
    <col min="4105" max="4105" width="16.42578125" style="4" customWidth="1"/>
    <col min="4106" max="4106" width="0" style="4" hidden="1" customWidth="1"/>
    <col min="4107" max="4107" width="16.5703125" style="4" customWidth="1"/>
    <col min="4108" max="4109" width="0" style="4" hidden="1" customWidth="1"/>
    <col min="4110" max="4111" width="16.5703125" style="4" customWidth="1"/>
    <col min="4112" max="4112" width="5.140625" style="4" customWidth="1"/>
    <col min="4113" max="4113" width="16.5703125" style="4" customWidth="1"/>
    <col min="4114" max="4114" width="5.140625" style="4" customWidth="1"/>
    <col min="4115" max="4115" width="16.5703125" style="4" customWidth="1"/>
    <col min="4116" max="4116" width="5.140625" style="4" customWidth="1"/>
    <col min="4117" max="4117" width="16.5703125" style="4" customWidth="1"/>
    <col min="4118" max="4118" width="5.140625" style="4" customWidth="1"/>
    <col min="4119" max="4119" width="15.28515625" style="4" customWidth="1"/>
    <col min="4120" max="4120" width="4.7109375" style="4" customWidth="1"/>
    <col min="4121" max="4121" width="0" style="4" hidden="1" customWidth="1"/>
    <col min="4122" max="4122" width="6.5703125" style="4" customWidth="1"/>
    <col min="4123" max="4123" width="10.5703125" style="4" customWidth="1"/>
    <col min="4124" max="4124" width="17.42578125" style="4" customWidth="1"/>
    <col min="4125" max="4125" width="7.7109375" style="4" customWidth="1"/>
    <col min="4126" max="4126" width="15.42578125" style="4" customWidth="1"/>
    <col min="4127" max="4127" width="16.42578125" style="4" customWidth="1"/>
    <col min="4128" max="4128" width="17.28515625" style="4" customWidth="1"/>
    <col min="4129" max="4129" width="0" style="4" hidden="1" customWidth="1"/>
    <col min="4130" max="4130" width="19" style="4" customWidth="1"/>
    <col min="4131" max="4133" width="26" style="4" customWidth="1"/>
    <col min="4134" max="4134" width="35.42578125" style="4" customWidth="1"/>
    <col min="4135" max="4135" width="27.5703125" style="4" customWidth="1"/>
    <col min="4136" max="4136" width="9.140625" style="4" customWidth="1"/>
    <col min="4137" max="4137" width="26.7109375" style="4" customWidth="1"/>
    <col min="4138" max="4138" width="17.28515625" style="4" customWidth="1"/>
    <col min="4139" max="4304" width="9.140625" style="4" customWidth="1"/>
    <col min="4305" max="4306" width="3" style="4" customWidth="1"/>
    <col min="4307" max="4307" width="4.42578125" style="4" bestFit="1" customWidth="1"/>
    <col min="4308" max="4308" width="59.140625" style="4" customWidth="1"/>
    <col min="4309" max="4309" width="0" style="4" hidden="1" customWidth="1"/>
    <col min="4310" max="4310" width="12.7109375" style="4" customWidth="1"/>
    <col min="4311" max="4311" width="8.28515625" style="4" customWidth="1"/>
    <col min="4312" max="4312" width="14.42578125" style="4" customWidth="1"/>
    <col min="4313" max="4313" width="7.28515625" style="4" customWidth="1"/>
    <col min="4314" max="4314" width="9.5703125" style="4" customWidth="1"/>
    <col min="4315" max="4315" width="17" style="4" customWidth="1"/>
    <col min="4316" max="4316" width="0" style="4" hidden="1" customWidth="1"/>
    <col min="4317" max="4317" width="15.140625" style="4" customWidth="1"/>
    <col min="4318" max="4318" width="13.85546875" style="4" customWidth="1"/>
    <col min="4319" max="4319" width="4.42578125" style="4" customWidth="1"/>
    <col min="4320" max="4320" width="12.28515625" style="4" customWidth="1"/>
    <col min="4321" max="4321" width="6" style="4" customWidth="1"/>
    <col min="4322" max="4322" width="19.85546875" style="4" customWidth="1"/>
    <col min="4323" max="4323" width="5.140625" style="4" customWidth="1"/>
    <col min="4324" max="4324" width="17.28515625" style="4" bestFit="1" customWidth="1"/>
    <col min="4325" max="4326" width="0" style="4" hidden="1" customWidth="1"/>
    <col min="4327" max="4327" width="5.85546875" style="4" customWidth="1"/>
    <col min="4328" max="4328" width="10.28515625" style="4" customWidth="1"/>
    <col min="4329" max="4329" width="15.42578125" style="4" customWidth="1"/>
    <col min="4330" max="4330" width="11.85546875" style="4" customWidth="1"/>
    <col min="4331" max="4331" width="16.42578125" style="4" customWidth="1"/>
    <col min="4332" max="4332" width="17.28515625" style="4" customWidth="1"/>
    <col min="4333" max="4333" width="19" style="4" bestFit="1" customWidth="1"/>
    <col min="4334" max="4334" width="20" style="4" customWidth="1"/>
    <col min="4335" max="4335" width="18.7109375" style="4" bestFit="1" customWidth="1"/>
    <col min="4336" max="4336" width="17.85546875" style="4" bestFit="1" customWidth="1"/>
    <col min="4337" max="4337" width="16.42578125" style="4" bestFit="1" customWidth="1"/>
    <col min="4338" max="4352" width="9.140625" style="4"/>
    <col min="4353" max="4353" width="6.85546875" style="4" customWidth="1"/>
    <col min="4354" max="4354" width="54.85546875" style="4" customWidth="1"/>
    <col min="4355" max="4355" width="0" style="4" hidden="1" customWidth="1"/>
    <col min="4356" max="4356" width="12.7109375" style="4" customWidth="1"/>
    <col min="4357" max="4357" width="13.85546875" style="4" customWidth="1"/>
    <col min="4358" max="4358" width="19.42578125" style="4" customWidth="1"/>
    <col min="4359" max="4359" width="9.28515625" style="4" customWidth="1"/>
    <col min="4360" max="4360" width="11.85546875" style="4" customWidth="1"/>
    <col min="4361" max="4361" width="16.42578125" style="4" customWidth="1"/>
    <col min="4362" max="4362" width="0" style="4" hidden="1" customWidth="1"/>
    <col min="4363" max="4363" width="16.5703125" style="4" customWidth="1"/>
    <col min="4364" max="4365" width="0" style="4" hidden="1" customWidth="1"/>
    <col min="4366" max="4367" width="16.5703125" style="4" customWidth="1"/>
    <col min="4368" max="4368" width="5.140625" style="4" customWidth="1"/>
    <col min="4369" max="4369" width="16.5703125" style="4" customWidth="1"/>
    <col min="4370" max="4370" width="5.140625" style="4" customWidth="1"/>
    <col min="4371" max="4371" width="16.5703125" style="4" customWidth="1"/>
    <col min="4372" max="4372" width="5.140625" style="4" customWidth="1"/>
    <col min="4373" max="4373" width="16.5703125" style="4" customWidth="1"/>
    <col min="4374" max="4374" width="5.140625" style="4" customWidth="1"/>
    <col min="4375" max="4375" width="15.28515625" style="4" customWidth="1"/>
    <col min="4376" max="4376" width="4.7109375" style="4" customWidth="1"/>
    <col min="4377" max="4377" width="0" style="4" hidden="1" customWidth="1"/>
    <col min="4378" max="4378" width="6.5703125" style="4" customWidth="1"/>
    <col min="4379" max="4379" width="10.5703125" style="4" customWidth="1"/>
    <col min="4380" max="4380" width="17.42578125" style="4" customWidth="1"/>
    <col min="4381" max="4381" width="7.7109375" style="4" customWidth="1"/>
    <col min="4382" max="4382" width="15.42578125" style="4" customWidth="1"/>
    <col min="4383" max="4383" width="16.42578125" style="4" customWidth="1"/>
    <col min="4384" max="4384" width="17.28515625" style="4" customWidth="1"/>
    <col min="4385" max="4385" width="0" style="4" hidden="1" customWidth="1"/>
    <col min="4386" max="4386" width="19" style="4" customWidth="1"/>
    <col min="4387" max="4389" width="26" style="4" customWidth="1"/>
    <col min="4390" max="4390" width="35.42578125" style="4" customWidth="1"/>
    <col min="4391" max="4391" width="27.5703125" style="4" customWidth="1"/>
    <col min="4392" max="4392" width="9.140625" style="4" customWidth="1"/>
    <col min="4393" max="4393" width="26.7109375" style="4" customWidth="1"/>
    <col min="4394" max="4394" width="17.28515625" style="4" customWidth="1"/>
    <col min="4395" max="4560" width="9.140625" style="4" customWidth="1"/>
    <col min="4561" max="4562" width="3" style="4" customWidth="1"/>
    <col min="4563" max="4563" width="4.42578125" style="4" bestFit="1" customWidth="1"/>
    <col min="4564" max="4564" width="59.140625" style="4" customWidth="1"/>
    <col min="4565" max="4565" width="0" style="4" hidden="1" customWidth="1"/>
    <col min="4566" max="4566" width="12.7109375" style="4" customWidth="1"/>
    <col min="4567" max="4567" width="8.28515625" style="4" customWidth="1"/>
    <col min="4568" max="4568" width="14.42578125" style="4" customWidth="1"/>
    <col min="4569" max="4569" width="7.28515625" style="4" customWidth="1"/>
    <col min="4570" max="4570" width="9.5703125" style="4" customWidth="1"/>
    <col min="4571" max="4571" width="17" style="4" customWidth="1"/>
    <col min="4572" max="4572" width="0" style="4" hidden="1" customWidth="1"/>
    <col min="4573" max="4573" width="15.140625" style="4" customWidth="1"/>
    <col min="4574" max="4574" width="13.85546875" style="4" customWidth="1"/>
    <col min="4575" max="4575" width="4.42578125" style="4" customWidth="1"/>
    <col min="4576" max="4576" width="12.28515625" style="4" customWidth="1"/>
    <col min="4577" max="4577" width="6" style="4" customWidth="1"/>
    <col min="4578" max="4578" width="19.85546875" style="4" customWidth="1"/>
    <col min="4579" max="4579" width="5.140625" style="4" customWidth="1"/>
    <col min="4580" max="4580" width="17.28515625" style="4" bestFit="1" customWidth="1"/>
    <col min="4581" max="4582" width="0" style="4" hidden="1" customWidth="1"/>
    <col min="4583" max="4583" width="5.85546875" style="4" customWidth="1"/>
    <col min="4584" max="4584" width="10.28515625" style="4" customWidth="1"/>
    <col min="4585" max="4585" width="15.42578125" style="4" customWidth="1"/>
    <col min="4586" max="4586" width="11.85546875" style="4" customWidth="1"/>
    <col min="4587" max="4587" width="16.42578125" style="4" customWidth="1"/>
    <col min="4588" max="4588" width="17.28515625" style="4" customWidth="1"/>
    <col min="4589" max="4589" width="19" style="4" bestFit="1" customWidth="1"/>
    <col min="4590" max="4590" width="20" style="4" customWidth="1"/>
    <col min="4591" max="4591" width="18.7109375" style="4" bestFit="1" customWidth="1"/>
    <col min="4592" max="4592" width="17.85546875" style="4" bestFit="1" customWidth="1"/>
    <col min="4593" max="4593" width="16.42578125" style="4" bestFit="1" customWidth="1"/>
    <col min="4594" max="4608" width="9.140625" style="4"/>
    <col min="4609" max="4609" width="6.85546875" style="4" customWidth="1"/>
    <col min="4610" max="4610" width="54.85546875" style="4" customWidth="1"/>
    <col min="4611" max="4611" width="0" style="4" hidden="1" customWidth="1"/>
    <col min="4612" max="4612" width="12.7109375" style="4" customWidth="1"/>
    <col min="4613" max="4613" width="13.85546875" style="4" customWidth="1"/>
    <col min="4614" max="4614" width="19.42578125" style="4" customWidth="1"/>
    <col min="4615" max="4615" width="9.28515625" style="4" customWidth="1"/>
    <col min="4616" max="4616" width="11.85546875" style="4" customWidth="1"/>
    <col min="4617" max="4617" width="16.42578125" style="4" customWidth="1"/>
    <col min="4618" max="4618" width="0" style="4" hidden="1" customWidth="1"/>
    <col min="4619" max="4619" width="16.5703125" style="4" customWidth="1"/>
    <col min="4620" max="4621" width="0" style="4" hidden="1" customWidth="1"/>
    <col min="4622" max="4623" width="16.5703125" style="4" customWidth="1"/>
    <col min="4624" max="4624" width="5.140625" style="4" customWidth="1"/>
    <col min="4625" max="4625" width="16.5703125" style="4" customWidth="1"/>
    <col min="4626" max="4626" width="5.140625" style="4" customWidth="1"/>
    <col min="4627" max="4627" width="16.5703125" style="4" customWidth="1"/>
    <col min="4628" max="4628" width="5.140625" style="4" customWidth="1"/>
    <col min="4629" max="4629" width="16.5703125" style="4" customWidth="1"/>
    <col min="4630" max="4630" width="5.140625" style="4" customWidth="1"/>
    <col min="4631" max="4631" width="15.28515625" style="4" customWidth="1"/>
    <col min="4632" max="4632" width="4.7109375" style="4" customWidth="1"/>
    <col min="4633" max="4633" width="0" style="4" hidden="1" customWidth="1"/>
    <col min="4634" max="4634" width="6.5703125" style="4" customWidth="1"/>
    <col min="4635" max="4635" width="10.5703125" style="4" customWidth="1"/>
    <col min="4636" max="4636" width="17.42578125" style="4" customWidth="1"/>
    <col min="4637" max="4637" width="7.7109375" style="4" customWidth="1"/>
    <col min="4638" max="4638" width="15.42578125" style="4" customWidth="1"/>
    <col min="4639" max="4639" width="16.42578125" style="4" customWidth="1"/>
    <col min="4640" max="4640" width="17.28515625" style="4" customWidth="1"/>
    <col min="4641" max="4641" width="0" style="4" hidden="1" customWidth="1"/>
    <col min="4642" max="4642" width="19" style="4" customWidth="1"/>
    <col min="4643" max="4645" width="26" style="4" customWidth="1"/>
    <col min="4646" max="4646" width="35.42578125" style="4" customWidth="1"/>
    <col min="4647" max="4647" width="27.5703125" style="4" customWidth="1"/>
    <col min="4648" max="4648" width="9.140625" style="4" customWidth="1"/>
    <col min="4649" max="4649" width="26.7109375" style="4" customWidth="1"/>
    <col min="4650" max="4650" width="17.28515625" style="4" customWidth="1"/>
    <col min="4651" max="4816" width="9.140625" style="4" customWidth="1"/>
    <col min="4817" max="4818" width="3" style="4" customWidth="1"/>
    <col min="4819" max="4819" width="4.42578125" style="4" bestFit="1" customWidth="1"/>
    <col min="4820" max="4820" width="59.140625" style="4" customWidth="1"/>
    <col min="4821" max="4821" width="0" style="4" hidden="1" customWidth="1"/>
    <col min="4822" max="4822" width="12.7109375" style="4" customWidth="1"/>
    <col min="4823" max="4823" width="8.28515625" style="4" customWidth="1"/>
    <col min="4824" max="4824" width="14.42578125" style="4" customWidth="1"/>
    <col min="4825" max="4825" width="7.28515625" style="4" customWidth="1"/>
    <col min="4826" max="4826" width="9.5703125" style="4" customWidth="1"/>
    <col min="4827" max="4827" width="17" style="4" customWidth="1"/>
    <col min="4828" max="4828" width="0" style="4" hidden="1" customWidth="1"/>
    <col min="4829" max="4829" width="15.140625" style="4" customWidth="1"/>
    <col min="4830" max="4830" width="13.85546875" style="4" customWidth="1"/>
    <col min="4831" max="4831" width="4.42578125" style="4" customWidth="1"/>
    <col min="4832" max="4832" width="12.28515625" style="4" customWidth="1"/>
    <col min="4833" max="4833" width="6" style="4" customWidth="1"/>
    <col min="4834" max="4834" width="19.85546875" style="4" customWidth="1"/>
    <col min="4835" max="4835" width="5.140625" style="4" customWidth="1"/>
    <col min="4836" max="4836" width="17.28515625" style="4" bestFit="1" customWidth="1"/>
    <col min="4837" max="4838" width="0" style="4" hidden="1" customWidth="1"/>
    <col min="4839" max="4839" width="5.85546875" style="4" customWidth="1"/>
    <col min="4840" max="4840" width="10.28515625" style="4" customWidth="1"/>
    <col min="4841" max="4841" width="15.42578125" style="4" customWidth="1"/>
    <col min="4842" max="4842" width="11.85546875" style="4" customWidth="1"/>
    <col min="4843" max="4843" width="16.42578125" style="4" customWidth="1"/>
    <col min="4844" max="4844" width="17.28515625" style="4" customWidth="1"/>
    <col min="4845" max="4845" width="19" style="4" bestFit="1" customWidth="1"/>
    <col min="4846" max="4846" width="20" style="4" customWidth="1"/>
    <col min="4847" max="4847" width="18.7109375" style="4" bestFit="1" customWidth="1"/>
    <col min="4848" max="4848" width="17.85546875" style="4" bestFit="1" customWidth="1"/>
    <col min="4849" max="4849" width="16.42578125" style="4" bestFit="1" customWidth="1"/>
    <col min="4850" max="4864" width="9.140625" style="4"/>
    <col min="4865" max="4865" width="6.85546875" style="4" customWidth="1"/>
    <col min="4866" max="4866" width="54.85546875" style="4" customWidth="1"/>
    <col min="4867" max="4867" width="0" style="4" hidden="1" customWidth="1"/>
    <col min="4868" max="4868" width="12.7109375" style="4" customWidth="1"/>
    <col min="4869" max="4869" width="13.85546875" style="4" customWidth="1"/>
    <col min="4870" max="4870" width="19.42578125" style="4" customWidth="1"/>
    <col min="4871" max="4871" width="9.28515625" style="4" customWidth="1"/>
    <col min="4872" max="4872" width="11.85546875" style="4" customWidth="1"/>
    <col min="4873" max="4873" width="16.42578125" style="4" customWidth="1"/>
    <col min="4874" max="4874" width="0" style="4" hidden="1" customWidth="1"/>
    <col min="4875" max="4875" width="16.5703125" style="4" customWidth="1"/>
    <col min="4876" max="4877" width="0" style="4" hidden="1" customWidth="1"/>
    <col min="4878" max="4879" width="16.5703125" style="4" customWidth="1"/>
    <col min="4880" max="4880" width="5.140625" style="4" customWidth="1"/>
    <col min="4881" max="4881" width="16.5703125" style="4" customWidth="1"/>
    <col min="4882" max="4882" width="5.140625" style="4" customWidth="1"/>
    <col min="4883" max="4883" width="16.5703125" style="4" customWidth="1"/>
    <col min="4884" max="4884" width="5.140625" style="4" customWidth="1"/>
    <col min="4885" max="4885" width="16.5703125" style="4" customWidth="1"/>
    <col min="4886" max="4886" width="5.140625" style="4" customWidth="1"/>
    <col min="4887" max="4887" width="15.28515625" style="4" customWidth="1"/>
    <col min="4888" max="4888" width="4.7109375" style="4" customWidth="1"/>
    <col min="4889" max="4889" width="0" style="4" hidden="1" customWidth="1"/>
    <col min="4890" max="4890" width="6.5703125" style="4" customWidth="1"/>
    <col min="4891" max="4891" width="10.5703125" style="4" customWidth="1"/>
    <col min="4892" max="4892" width="17.42578125" style="4" customWidth="1"/>
    <col min="4893" max="4893" width="7.7109375" style="4" customWidth="1"/>
    <col min="4894" max="4894" width="15.42578125" style="4" customWidth="1"/>
    <col min="4895" max="4895" width="16.42578125" style="4" customWidth="1"/>
    <col min="4896" max="4896" width="17.28515625" style="4" customWidth="1"/>
    <col min="4897" max="4897" width="0" style="4" hidden="1" customWidth="1"/>
    <col min="4898" max="4898" width="19" style="4" customWidth="1"/>
    <col min="4899" max="4901" width="26" style="4" customWidth="1"/>
    <col min="4902" max="4902" width="35.42578125" style="4" customWidth="1"/>
    <col min="4903" max="4903" width="27.5703125" style="4" customWidth="1"/>
    <col min="4904" max="4904" width="9.140625" style="4" customWidth="1"/>
    <col min="4905" max="4905" width="26.7109375" style="4" customWidth="1"/>
    <col min="4906" max="4906" width="17.28515625" style="4" customWidth="1"/>
    <col min="4907" max="5072" width="9.140625" style="4" customWidth="1"/>
    <col min="5073" max="5074" width="3" style="4" customWidth="1"/>
    <col min="5075" max="5075" width="4.42578125" style="4" bestFit="1" customWidth="1"/>
    <col min="5076" max="5076" width="59.140625" style="4" customWidth="1"/>
    <col min="5077" max="5077" width="0" style="4" hidden="1" customWidth="1"/>
    <col min="5078" max="5078" width="12.7109375" style="4" customWidth="1"/>
    <col min="5079" max="5079" width="8.28515625" style="4" customWidth="1"/>
    <col min="5080" max="5080" width="14.42578125" style="4" customWidth="1"/>
    <col min="5081" max="5081" width="7.28515625" style="4" customWidth="1"/>
    <col min="5082" max="5082" width="9.5703125" style="4" customWidth="1"/>
    <col min="5083" max="5083" width="17" style="4" customWidth="1"/>
    <col min="5084" max="5084" width="0" style="4" hidden="1" customWidth="1"/>
    <col min="5085" max="5085" width="15.140625" style="4" customWidth="1"/>
    <col min="5086" max="5086" width="13.85546875" style="4" customWidth="1"/>
    <col min="5087" max="5087" width="4.42578125" style="4" customWidth="1"/>
    <col min="5088" max="5088" width="12.28515625" style="4" customWidth="1"/>
    <col min="5089" max="5089" width="6" style="4" customWidth="1"/>
    <col min="5090" max="5090" width="19.85546875" style="4" customWidth="1"/>
    <col min="5091" max="5091" width="5.140625" style="4" customWidth="1"/>
    <col min="5092" max="5092" width="17.28515625" style="4" bestFit="1" customWidth="1"/>
    <col min="5093" max="5094" width="0" style="4" hidden="1" customWidth="1"/>
    <col min="5095" max="5095" width="5.85546875" style="4" customWidth="1"/>
    <col min="5096" max="5096" width="10.28515625" style="4" customWidth="1"/>
    <col min="5097" max="5097" width="15.42578125" style="4" customWidth="1"/>
    <col min="5098" max="5098" width="11.85546875" style="4" customWidth="1"/>
    <col min="5099" max="5099" width="16.42578125" style="4" customWidth="1"/>
    <col min="5100" max="5100" width="17.28515625" style="4" customWidth="1"/>
    <col min="5101" max="5101" width="19" style="4" bestFit="1" customWidth="1"/>
    <col min="5102" max="5102" width="20" style="4" customWidth="1"/>
    <col min="5103" max="5103" width="18.7109375" style="4" bestFit="1" customWidth="1"/>
    <col min="5104" max="5104" width="17.85546875" style="4" bestFit="1" customWidth="1"/>
    <col min="5105" max="5105" width="16.42578125" style="4" bestFit="1" customWidth="1"/>
    <col min="5106" max="5120" width="9.140625" style="4"/>
    <col min="5121" max="5121" width="6.85546875" style="4" customWidth="1"/>
    <col min="5122" max="5122" width="54.85546875" style="4" customWidth="1"/>
    <col min="5123" max="5123" width="0" style="4" hidden="1" customWidth="1"/>
    <col min="5124" max="5124" width="12.7109375" style="4" customWidth="1"/>
    <col min="5125" max="5125" width="13.85546875" style="4" customWidth="1"/>
    <col min="5126" max="5126" width="19.42578125" style="4" customWidth="1"/>
    <col min="5127" max="5127" width="9.28515625" style="4" customWidth="1"/>
    <col min="5128" max="5128" width="11.85546875" style="4" customWidth="1"/>
    <col min="5129" max="5129" width="16.42578125" style="4" customWidth="1"/>
    <col min="5130" max="5130" width="0" style="4" hidden="1" customWidth="1"/>
    <col min="5131" max="5131" width="16.5703125" style="4" customWidth="1"/>
    <col min="5132" max="5133" width="0" style="4" hidden="1" customWidth="1"/>
    <col min="5134" max="5135" width="16.5703125" style="4" customWidth="1"/>
    <col min="5136" max="5136" width="5.140625" style="4" customWidth="1"/>
    <col min="5137" max="5137" width="16.5703125" style="4" customWidth="1"/>
    <col min="5138" max="5138" width="5.140625" style="4" customWidth="1"/>
    <col min="5139" max="5139" width="16.5703125" style="4" customWidth="1"/>
    <col min="5140" max="5140" width="5.140625" style="4" customWidth="1"/>
    <col min="5141" max="5141" width="16.5703125" style="4" customWidth="1"/>
    <col min="5142" max="5142" width="5.140625" style="4" customWidth="1"/>
    <col min="5143" max="5143" width="15.28515625" style="4" customWidth="1"/>
    <col min="5144" max="5144" width="4.7109375" style="4" customWidth="1"/>
    <col min="5145" max="5145" width="0" style="4" hidden="1" customWidth="1"/>
    <col min="5146" max="5146" width="6.5703125" style="4" customWidth="1"/>
    <col min="5147" max="5147" width="10.5703125" style="4" customWidth="1"/>
    <col min="5148" max="5148" width="17.42578125" style="4" customWidth="1"/>
    <col min="5149" max="5149" width="7.7109375" style="4" customWidth="1"/>
    <col min="5150" max="5150" width="15.42578125" style="4" customWidth="1"/>
    <col min="5151" max="5151" width="16.42578125" style="4" customWidth="1"/>
    <col min="5152" max="5152" width="17.28515625" style="4" customWidth="1"/>
    <col min="5153" max="5153" width="0" style="4" hidden="1" customWidth="1"/>
    <col min="5154" max="5154" width="19" style="4" customWidth="1"/>
    <col min="5155" max="5157" width="26" style="4" customWidth="1"/>
    <col min="5158" max="5158" width="35.42578125" style="4" customWidth="1"/>
    <col min="5159" max="5159" width="27.5703125" style="4" customWidth="1"/>
    <col min="5160" max="5160" width="9.140625" style="4" customWidth="1"/>
    <col min="5161" max="5161" width="26.7109375" style="4" customWidth="1"/>
    <col min="5162" max="5162" width="17.28515625" style="4" customWidth="1"/>
    <col min="5163" max="5328" width="9.140625" style="4" customWidth="1"/>
    <col min="5329" max="5330" width="3" style="4" customWidth="1"/>
    <col min="5331" max="5331" width="4.42578125" style="4" bestFit="1" customWidth="1"/>
    <col min="5332" max="5332" width="59.140625" style="4" customWidth="1"/>
    <col min="5333" max="5333" width="0" style="4" hidden="1" customWidth="1"/>
    <col min="5334" max="5334" width="12.7109375" style="4" customWidth="1"/>
    <col min="5335" max="5335" width="8.28515625" style="4" customWidth="1"/>
    <col min="5336" max="5336" width="14.42578125" style="4" customWidth="1"/>
    <col min="5337" max="5337" width="7.28515625" style="4" customWidth="1"/>
    <col min="5338" max="5338" width="9.5703125" style="4" customWidth="1"/>
    <col min="5339" max="5339" width="17" style="4" customWidth="1"/>
    <col min="5340" max="5340" width="0" style="4" hidden="1" customWidth="1"/>
    <col min="5341" max="5341" width="15.140625" style="4" customWidth="1"/>
    <col min="5342" max="5342" width="13.85546875" style="4" customWidth="1"/>
    <col min="5343" max="5343" width="4.42578125" style="4" customWidth="1"/>
    <col min="5344" max="5344" width="12.28515625" style="4" customWidth="1"/>
    <col min="5345" max="5345" width="6" style="4" customWidth="1"/>
    <col min="5346" max="5346" width="19.85546875" style="4" customWidth="1"/>
    <col min="5347" max="5347" width="5.140625" style="4" customWidth="1"/>
    <col min="5348" max="5348" width="17.28515625" style="4" bestFit="1" customWidth="1"/>
    <col min="5349" max="5350" width="0" style="4" hidden="1" customWidth="1"/>
    <col min="5351" max="5351" width="5.85546875" style="4" customWidth="1"/>
    <col min="5352" max="5352" width="10.28515625" style="4" customWidth="1"/>
    <col min="5353" max="5353" width="15.42578125" style="4" customWidth="1"/>
    <col min="5354" max="5354" width="11.85546875" style="4" customWidth="1"/>
    <col min="5355" max="5355" width="16.42578125" style="4" customWidth="1"/>
    <col min="5356" max="5356" width="17.28515625" style="4" customWidth="1"/>
    <col min="5357" max="5357" width="19" style="4" bestFit="1" customWidth="1"/>
    <col min="5358" max="5358" width="20" style="4" customWidth="1"/>
    <col min="5359" max="5359" width="18.7109375" style="4" bestFit="1" customWidth="1"/>
    <col min="5360" max="5360" width="17.85546875" style="4" bestFit="1" customWidth="1"/>
    <col min="5361" max="5361" width="16.42578125" style="4" bestFit="1" customWidth="1"/>
    <col min="5362" max="5376" width="9.140625" style="4"/>
    <col min="5377" max="5377" width="6.85546875" style="4" customWidth="1"/>
    <col min="5378" max="5378" width="54.85546875" style="4" customWidth="1"/>
    <col min="5379" max="5379" width="0" style="4" hidden="1" customWidth="1"/>
    <col min="5380" max="5380" width="12.7109375" style="4" customWidth="1"/>
    <col min="5381" max="5381" width="13.85546875" style="4" customWidth="1"/>
    <col min="5382" max="5382" width="19.42578125" style="4" customWidth="1"/>
    <col min="5383" max="5383" width="9.28515625" style="4" customWidth="1"/>
    <col min="5384" max="5384" width="11.85546875" style="4" customWidth="1"/>
    <col min="5385" max="5385" width="16.42578125" style="4" customWidth="1"/>
    <col min="5386" max="5386" width="0" style="4" hidden="1" customWidth="1"/>
    <col min="5387" max="5387" width="16.5703125" style="4" customWidth="1"/>
    <col min="5388" max="5389" width="0" style="4" hidden="1" customWidth="1"/>
    <col min="5390" max="5391" width="16.5703125" style="4" customWidth="1"/>
    <col min="5392" max="5392" width="5.140625" style="4" customWidth="1"/>
    <col min="5393" max="5393" width="16.5703125" style="4" customWidth="1"/>
    <col min="5394" max="5394" width="5.140625" style="4" customWidth="1"/>
    <col min="5395" max="5395" width="16.5703125" style="4" customWidth="1"/>
    <col min="5396" max="5396" width="5.140625" style="4" customWidth="1"/>
    <col min="5397" max="5397" width="16.5703125" style="4" customWidth="1"/>
    <col min="5398" max="5398" width="5.140625" style="4" customWidth="1"/>
    <col min="5399" max="5399" width="15.28515625" style="4" customWidth="1"/>
    <col min="5400" max="5400" width="4.7109375" style="4" customWidth="1"/>
    <col min="5401" max="5401" width="0" style="4" hidden="1" customWidth="1"/>
    <col min="5402" max="5402" width="6.5703125" style="4" customWidth="1"/>
    <col min="5403" max="5403" width="10.5703125" style="4" customWidth="1"/>
    <col min="5404" max="5404" width="17.42578125" style="4" customWidth="1"/>
    <col min="5405" max="5405" width="7.7109375" style="4" customWidth="1"/>
    <col min="5406" max="5406" width="15.42578125" style="4" customWidth="1"/>
    <col min="5407" max="5407" width="16.42578125" style="4" customWidth="1"/>
    <col min="5408" max="5408" width="17.28515625" style="4" customWidth="1"/>
    <col min="5409" max="5409" width="0" style="4" hidden="1" customWidth="1"/>
    <col min="5410" max="5410" width="19" style="4" customWidth="1"/>
    <col min="5411" max="5413" width="26" style="4" customWidth="1"/>
    <col min="5414" max="5414" width="35.42578125" style="4" customWidth="1"/>
    <col min="5415" max="5415" width="27.5703125" style="4" customWidth="1"/>
    <col min="5416" max="5416" width="9.140625" style="4" customWidth="1"/>
    <col min="5417" max="5417" width="26.7109375" style="4" customWidth="1"/>
    <col min="5418" max="5418" width="17.28515625" style="4" customWidth="1"/>
    <col min="5419" max="5584" width="9.140625" style="4" customWidth="1"/>
    <col min="5585" max="5586" width="3" style="4" customWidth="1"/>
    <col min="5587" max="5587" width="4.42578125" style="4" bestFit="1" customWidth="1"/>
    <col min="5588" max="5588" width="59.140625" style="4" customWidth="1"/>
    <col min="5589" max="5589" width="0" style="4" hidden="1" customWidth="1"/>
    <col min="5590" max="5590" width="12.7109375" style="4" customWidth="1"/>
    <col min="5591" max="5591" width="8.28515625" style="4" customWidth="1"/>
    <col min="5592" max="5592" width="14.42578125" style="4" customWidth="1"/>
    <col min="5593" max="5593" width="7.28515625" style="4" customWidth="1"/>
    <col min="5594" max="5594" width="9.5703125" style="4" customWidth="1"/>
    <col min="5595" max="5595" width="17" style="4" customWidth="1"/>
    <col min="5596" max="5596" width="0" style="4" hidden="1" customWidth="1"/>
    <col min="5597" max="5597" width="15.140625" style="4" customWidth="1"/>
    <col min="5598" max="5598" width="13.85546875" style="4" customWidth="1"/>
    <col min="5599" max="5599" width="4.42578125" style="4" customWidth="1"/>
    <col min="5600" max="5600" width="12.28515625" style="4" customWidth="1"/>
    <col min="5601" max="5601" width="6" style="4" customWidth="1"/>
    <col min="5602" max="5602" width="19.85546875" style="4" customWidth="1"/>
    <col min="5603" max="5603" width="5.140625" style="4" customWidth="1"/>
    <col min="5604" max="5604" width="17.28515625" style="4" bestFit="1" customWidth="1"/>
    <col min="5605" max="5606" width="0" style="4" hidden="1" customWidth="1"/>
    <col min="5607" max="5607" width="5.85546875" style="4" customWidth="1"/>
    <col min="5608" max="5608" width="10.28515625" style="4" customWidth="1"/>
    <col min="5609" max="5609" width="15.42578125" style="4" customWidth="1"/>
    <col min="5610" max="5610" width="11.85546875" style="4" customWidth="1"/>
    <col min="5611" max="5611" width="16.42578125" style="4" customWidth="1"/>
    <col min="5612" max="5612" width="17.28515625" style="4" customWidth="1"/>
    <col min="5613" max="5613" width="19" style="4" bestFit="1" customWidth="1"/>
    <col min="5614" max="5614" width="20" style="4" customWidth="1"/>
    <col min="5615" max="5615" width="18.7109375" style="4" bestFit="1" customWidth="1"/>
    <col min="5616" max="5616" width="17.85546875" style="4" bestFit="1" customWidth="1"/>
    <col min="5617" max="5617" width="16.42578125" style="4" bestFit="1" customWidth="1"/>
    <col min="5618" max="5632" width="9.140625" style="4"/>
    <col min="5633" max="5633" width="6.85546875" style="4" customWidth="1"/>
    <col min="5634" max="5634" width="54.85546875" style="4" customWidth="1"/>
    <col min="5635" max="5635" width="0" style="4" hidden="1" customWidth="1"/>
    <col min="5636" max="5636" width="12.7109375" style="4" customWidth="1"/>
    <col min="5637" max="5637" width="13.85546875" style="4" customWidth="1"/>
    <col min="5638" max="5638" width="19.42578125" style="4" customWidth="1"/>
    <col min="5639" max="5639" width="9.28515625" style="4" customWidth="1"/>
    <col min="5640" max="5640" width="11.85546875" style="4" customWidth="1"/>
    <col min="5641" max="5641" width="16.42578125" style="4" customWidth="1"/>
    <col min="5642" max="5642" width="0" style="4" hidden="1" customWidth="1"/>
    <col min="5643" max="5643" width="16.5703125" style="4" customWidth="1"/>
    <col min="5644" max="5645" width="0" style="4" hidden="1" customWidth="1"/>
    <col min="5646" max="5647" width="16.5703125" style="4" customWidth="1"/>
    <col min="5648" max="5648" width="5.140625" style="4" customWidth="1"/>
    <col min="5649" max="5649" width="16.5703125" style="4" customWidth="1"/>
    <col min="5650" max="5650" width="5.140625" style="4" customWidth="1"/>
    <col min="5651" max="5651" width="16.5703125" style="4" customWidth="1"/>
    <col min="5652" max="5652" width="5.140625" style="4" customWidth="1"/>
    <col min="5653" max="5653" width="16.5703125" style="4" customWidth="1"/>
    <col min="5654" max="5654" width="5.140625" style="4" customWidth="1"/>
    <col min="5655" max="5655" width="15.28515625" style="4" customWidth="1"/>
    <col min="5656" max="5656" width="4.7109375" style="4" customWidth="1"/>
    <col min="5657" max="5657" width="0" style="4" hidden="1" customWidth="1"/>
    <col min="5658" max="5658" width="6.5703125" style="4" customWidth="1"/>
    <col min="5659" max="5659" width="10.5703125" style="4" customWidth="1"/>
    <col min="5660" max="5660" width="17.42578125" style="4" customWidth="1"/>
    <col min="5661" max="5661" width="7.7109375" style="4" customWidth="1"/>
    <col min="5662" max="5662" width="15.42578125" style="4" customWidth="1"/>
    <col min="5663" max="5663" width="16.42578125" style="4" customWidth="1"/>
    <col min="5664" max="5664" width="17.28515625" style="4" customWidth="1"/>
    <col min="5665" max="5665" width="0" style="4" hidden="1" customWidth="1"/>
    <col min="5666" max="5666" width="19" style="4" customWidth="1"/>
    <col min="5667" max="5669" width="26" style="4" customWidth="1"/>
    <col min="5670" max="5670" width="35.42578125" style="4" customWidth="1"/>
    <col min="5671" max="5671" width="27.5703125" style="4" customWidth="1"/>
    <col min="5672" max="5672" width="9.140625" style="4" customWidth="1"/>
    <col min="5673" max="5673" width="26.7109375" style="4" customWidth="1"/>
    <col min="5674" max="5674" width="17.28515625" style="4" customWidth="1"/>
    <col min="5675" max="5840" width="9.140625" style="4" customWidth="1"/>
    <col min="5841" max="5842" width="3" style="4" customWidth="1"/>
    <col min="5843" max="5843" width="4.42578125" style="4" bestFit="1" customWidth="1"/>
    <col min="5844" max="5844" width="59.140625" style="4" customWidth="1"/>
    <col min="5845" max="5845" width="0" style="4" hidden="1" customWidth="1"/>
    <col min="5846" max="5846" width="12.7109375" style="4" customWidth="1"/>
    <col min="5847" max="5847" width="8.28515625" style="4" customWidth="1"/>
    <col min="5848" max="5848" width="14.42578125" style="4" customWidth="1"/>
    <col min="5849" max="5849" width="7.28515625" style="4" customWidth="1"/>
    <col min="5850" max="5850" width="9.5703125" style="4" customWidth="1"/>
    <col min="5851" max="5851" width="17" style="4" customWidth="1"/>
    <col min="5852" max="5852" width="0" style="4" hidden="1" customWidth="1"/>
    <col min="5853" max="5853" width="15.140625" style="4" customWidth="1"/>
    <col min="5854" max="5854" width="13.85546875" style="4" customWidth="1"/>
    <col min="5855" max="5855" width="4.42578125" style="4" customWidth="1"/>
    <col min="5856" max="5856" width="12.28515625" style="4" customWidth="1"/>
    <col min="5857" max="5857" width="6" style="4" customWidth="1"/>
    <col min="5858" max="5858" width="19.85546875" style="4" customWidth="1"/>
    <col min="5859" max="5859" width="5.140625" style="4" customWidth="1"/>
    <col min="5860" max="5860" width="17.28515625" style="4" bestFit="1" customWidth="1"/>
    <col min="5861" max="5862" width="0" style="4" hidden="1" customWidth="1"/>
    <col min="5863" max="5863" width="5.85546875" style="4" customWidth="1"/>
    <col min="5864" max="5864" width="10.28515625" style="4" customWidth="1"/>
    <col min="5865" max="5865" width="15.42578125" style="4" customWidth="1"/>
    <col min="5866" max="5866" width="11.85546875" style="4" customWidth="1"/>
    <col min="5867" max="5867" width="16.42578125" style="4" customWidth="1"/>
    <col min="5868" max="5868" width="17.28515625" style="4" customWidth="1"/>
    <col min="5869" max="5869" width="19" style="4" bestFit="1" customWidth="1"/>
    <col min="5870" max="5870" width="20" style="4" customWidth="1"/>
    <col min="5871" max="5871" width="18.7109375" style="4" bestFit="1" customWidth="1"/>
    <col min="5872" max="5872" width="17.85546875" style="4" bestFit="1" customWidth="1"/>
    <col min="5873" max="5873" width="16.42578125" style="4" bestFit="1" customWidth="1"/>
    <col min="5874" max="5888" width="9.140625" style="4"/>
    <col min="5889" max="5889" width="6.85546875" style="4" customWidth="1"/>
    <col min="5890" max="5890" width="54.85546875" style="4" customWidth="1"/>
    <col min="5891" max="5891" width="0" style="4" hidden="1" customWidth="1"/>
    <col min="5892" max="5892" width="12.7109375" style="4" customWidth="1"/>
    <col min="5893" max="5893" width="13.85546875" style="4" customWidth="1"/>
    <col min="5894" max="5894" width="19.42578125" style="4" customWidth="1"/>
    <col min="5895" max="5895" width="9.28515625" style="4" customWidth="1"/>
    <col min="5896" max="5896" width="11.85546875" style="4" customWidth="1"/>
    <col min="5897" max="5897" width="16.42578125" style="4" customWidth="1"/>
    <col min="5898" max="5898" width="0" style="4" hidden="1" customWidth="1"/>
    <col min="5899" max="5899" width="16.5703125" style="4" customWidth="1"/>
    <col min="5900" max="5901" width="0" style="4" hidden="1" customWidth="1"/>
    <col min="5902" max="5903" width="16.5703125" style="4" customWidth="1"/>
    <col min="5904" max="5904" width="5.140625" style="4" customWidth="1"/>
    <col min="5905" max="5905" width="16.5703125" style="4" customWidth="1"/>
    <col min="5906" max="5906" width="5.140625" style="4" customWidth="1"/>
    <col min="5907" max="5907" width="16.5703125" style="4" customWidth="1"/>
    <col min="5908" max="5908" width="5.140625" style="4" customWidth="1"/>
    <col min="5909" max="5909" width="16.5703125" style="4" customWidth="1"/>
    <col min="5910" max="5910" width="5.140625" style="4" customWidth="1"/>
    <col min="5911" max="5911" width="15.28515625" style="4" customWidth="1"/>
    <col min="5912" max="5912" width="4.7109375" style="4" customWidth="1"/>
    <col min="5913" max="5913" width="0" style="4" hidden="1" customWidth="1"/>
    <col min="5914" max="5914" width="6.5703125" style="4" customWidth="1"/>
    <col min="5915" max="5915" width="10.5703125" style="4" customWidth="1"/>
    <col min="5916" max="5916" width="17.42578125" style="4" customWidth="1"/>
    <col min="5917" max="5917" width="7.7109375" style="4" customWidth="1"/>
    <col min="5918" max="5918" width="15.42578125" style="4" customWidth="1"/>
    <col min="5919" max="5919" width="16.42578125" style="4" customWidth="1"/>
    <col min="5920" max="5920" width="17.28515625" style="4" customWidth="1"/>
    <col min="5921" max="5921" width="0" style="4" hidden="1" customWidth="1"/>
    <col min="5922" max="5922" width="19" style="4" customWidth="1"/>
    <col min="5923" max="5925" width="26" style="4" customWidth="1"/>
    <col min="5926" max="5926" width="35.42578125" style="4" customWidth="1"/>
    <col min="5927" max="5927" width="27.5703125" style="4" customWidth="1"/>
    <col min="5928" max="5928" width="9.140625" style="4" customWidth="1"/>
    <col min="5929" max="5929" width="26.7109375" style="4" customWidth="1"/>
    <col min="5930" max="5930" width="17.28515625" style="4" customWidth="1"/>
    <col min="5931" max="6096" width="9.140625" style="4" customWidth="1"/>
    <col min="6097" max="6098" width="3" style="4" customWidth="1"/>
    <col min="6099" max="6099" width="4.42578125" style="4" bestFit="1" customWidth="1"/>
    <col min="6100" max="6100" width="59.140625" style="4" customWidth="1"/>
    <col min="6101" max="6101" width="0" style="4" hidden="1" customWidth="1"/>
    <col min="6102" max="6102" width="12.7109375" style="4" customWidth="1"/>
    <col min="6103" max="6103" width="8.28515625" style="4" customWidth="1"/>
    <col min="6104" max="6104" width="14.42578125" style="4" customWidth="1"/>
    <col min="6105" max="6105" width="7.28515625" style="4" customWidth="1"/>
    <col min="6106" max="6106" width="9.5703125" style="4" customWidth="1"/>
    <col min="6107" max="6107" width="17" style="4" customWidth="1"/>
    <col min="6108" max="6108" width="0" style="4" hidden="1" customWidth="1"/>
    <col min="6109" max="6109" width="15.140625" style="4" customWidth="1"/>
    <col min="6110" max="6110" width="13.85546875" style="4" customWidth="1"/>
    <col min="6111" max="6111" width="4.42578125" style="4" customWidth="1"/>
    <col min="6112" max="6112" width="12.28515625" style="4" customWidth="1"/>
    <col min="6113" max="6113" width="6" style="4" customWidth="1"/>
    <col min="6114" max="6114" width="19.85546875" style="4" customWidth="1"/>
    <col min="6115" max="6115" width="5.140625" style="4" customWidth="1"/>
    <col min="6116" max="6116" width="17.28515625" style="4" bestFit="1" customWidth="1"/>
    <col min="6117" max="6118" width="0" style="4" hidden="1" customWidth="1"/>
    <col min="6119" max="6119" width="5.85546875" style="4" customWidth="1"/>
    <col min="6120" max="6120" width="10.28515625" style="4" customWidth="1"/>
    <col min="6121" max="6121" width="15.42578125" style="4" customWidth="1"/>
    <col min="6122" max="6122" width="11.85546875" style="4" customWidth="1"/>
    <col min="6123" max="6123" width="16.42578125" style="4" customWidth="1"/>
    <col min="6124" max="6124" width="17.28515625" style="4" customWidth="1"/>
    <col min="6125" max="6125" width="19" style="4" bestFit="1" customWidth="1"/>
    <col min="6126" max="6126" width="20" style="4" customWidth="1"/>
    <col min="6127" max="6127" width="18.7109375" style="4" bestFit="1" customWidth="1"/>
    <col min="6128" max="6128" width="17.85546875" style="4" bestFit="1" customWidth="1"/>
    <col min="6129" max="6129" width="16.42578125" style="4" bestFit="1" customWidth="1"/>
    <col min="6130" max="6144" width="9.140625" style="4"/>
    <col min="6145" max="6145" width="6.85546875" style="4" customWidth="1"/>
    <col min="6146" max="6146" width="54.85546875" style="4" customWidth="1"/>
    <col min="6147" max="6147" width="0" style="4" hidden="1" customWidth="1"/>
    <col min="6148" max="6148" width="12.7109375" style="4" customWidth="1"/>
    <col min="6149" max="6149" width="13.85546875" style="4" customWidth="1"/>
    <col min="6150" max="6150" width="19.42578125" style="4" customWidth="1"/>
    <col min="6151" max="6151" width="9.28515625" style="4" customWidth="1"/>
    <col min="6152" max="6152" width="11.85546875" style="4" customWidth="1"/>
    <col min="6153" max="6153" width="16.42578125" style="4" customWidth="1"/>
    <col min="6154" max="6154" width="0" style="4" hidden="1" customWidth="1"/>
    <col min="6155" max="6155" width="16.5703125" style="4" customWidth="1"/>
    <col min="6156" max="6157" width="0" style="4" hidden="1" customWidth="1"/>
    <col min="6158" max="6159" width="16.5703125" style="4" customWidth="1"/>
    <col min="6160" max="6160" width="5.140625" style="4" customWidth="1"/>
    <col min="6161" max="6161" width="16.5703125" style="4" customWidth="1"/>
    <col min="6162" max="6162" width="5.140625" style="4" customWidth="1"/>
    <col min="6163" max="6163" width="16.5703125" style="4" customWidth="1"/>
    <col min="6164" max="6164" width="5.140625" style="4" customWidth="1"/>
    <col min="6165" max="6165" width="16.5703125" style="4" customWidth="1"/>
    <col min="6166" max="6166" width="5.140625" style="4" customWidth="1"/>
    <col min="6167" max="6167" width="15.28515625" style="4" customWidth="1"/>
    <col min="6168" max="6168" width="4.7109375" style="4" customWidth="1"/>
    <col min="6169" max="6169" width="0" style="4" hidden="1" customWidth="1"/>
    <col min="6170" max="6170" width="6.5703125" style="4" customWidth="1"/>
    <col min="6171" max="6171" width="10.5703125" style="4" customWidth="1"/>
    <col min="6172" max="6172" width="17.42578125" style="4" customWidth="1"/>
    <col min="6173" max="6173" width="7.7109375" style="4" customWidth="1"/>
    <col min="6174" max="6174" width="15.42578125" style="4" customWidth="1"/>
    <col min="6175" max="6175" width="16.42578125" style="4" customWidth="1"/>
    <col min="6176" max="6176" width="17.28515625" style="4" customWidth="1"/>
    <col min="6177" max="6177" width="0" style="4" hidden="1" customWidth="1"/>
    <col min="6178" max="6178" width="19" style="4" customWidth="1"/>
    <col min="6179" max="6181" width="26" style="4" customWidth="1"/>
    <col min="6182" max="6182" width="35.42578125" style="4" customWidth="1"/>
    <col min="6183" max="6183" width="27.5703125" style="4" customWidth="1"/>
    <col min="6184" max="6184" width="9.140625" style="4" customWidth="1"/>
    <col min="6185" max="6185" width="26.7109375" style="4" customWidth="1"/>
    <col min="6186" max="6186" width="17.28515625" style="4" customWidth="1"/>
    <col min="6187" max="6352" width="9.140625" style="4" customWidth="1"/>
    <col min="6353" max="6354" width="3" style="4" customWidth="1"/>
    <col min="6355" max="6355" width="4.42578125" style="4" bestFit="1" customWidth="1"/>
    <col min="6356" max="6356" width="59.140625" style="4" customWidth="1"/>
    <col min="6357" max="6357" width="0" style="4" hidden="1" customWidth="1"/>
    <col min="6358" max="6358" width="12.7109375" style="4" customWidth="1"/>
    <col min="6359" max="6359" width="8.28515625" style="4" customWidth="1"/>
    <col min="6360" max="6360" width="14.42578125" style="4" customWidth="1"/>
    <col min="6361" max="6361" width="7.28515625" style="4" customWidth="1"/>
    <col min="6362" max="6362" width="9.5703125" style="4" customWidth="1"/>
    <col min="6363" max="6363" width="17" style="4" customWidth="1"/>
    <col min="6364" max="6364" width="0" style="4" hidden="1" customWidth="1"/>
    <col min="6365" max="6365" width="15.140625" style="4" customWidth="1"/>
    <col min="6366" max="6366" width="13.85546875" style="4" customWidth="1"/>
    <col min="6367" max="6367" width="4.42578125" style="4" customWidth="1"/>
    <col min="6368" max="6368" width="12.28515625" style="4" customWidth="1"/>
    <col min="6369" max="6369" width="6" style="4" customWidth="1"/>
    <col min="6370" max="6370" width="19.85546875" style="4" customWidth="1"/>
    <col min="6371" max="6371" width="5.140625" style="4" customWidth="1"/>
    <col min="6372" max="6372" width="17.28515625" style="4" bestFit="1" customWidth="1"/>
    <col min="6373" max="6374" width="0" style="4" hidden="1" customWidth="1"/>
    <col min="6375" max="6375" width="5.85546875" style="4" customWidth="1"/>
    <col min="6376" max="6376" width="10.28515625" style="4" customWidth="1"/>
    <col min="6377" max="6377" width="15.42578125" style="4" customWidth="1"/>
    <col min="6378" max="6378" width="11.85546875" style="4" customWidth="1"/>
    <col min="6379" max="6379" width="16.42578125" style="4" customWidth="1"/>
    <col min="6380" max="6380" width="17.28515625" style="4" customWidth="1"/>
    <col min="6381" max="6381" width="19" style="4" bestFit="1" customWidth="1"/>
    <col min="6382" max="6382" width="20" style="4" customWidth="1"/>
    <col min="6383" max="6383" width="18.7109375" style="4" bestFit="1" customWidth="1"/>
    <col min="6384" max="6384" width="17.85546875" style="4" bestFit="1" customWidth="1"/>
    <col min="6385" max="6385" width="16.42578125" style="4" bestFit="1" customWidth="1"/>
    <col min="6386" max="6400" width="9.140625" style="4"/>
    <col min="6401" max="6401" width="6.85546875" style="4" customWidth="1"/>
    <col min="6402" max="6402" width="54.85546875" style="4" customWidth="1"/>
    <col min="6403" max="6403" width="0" style="4" hidden="1" customWidth="1"/>
    <col min="6404" max="6404" width="12.7109375" style="4" customWidth="1"/>
    <col min="6405" max="6405" width="13.85546875" style="4" customWidth="1"/>
    <col min="6406" max="6406" width="19.42578125" style="4" customWidth="1"/>
    <col min="6407" max="6407" width="9.28515625" style="4" customWidth="1"/>
    <col min="6408" max="6408" width="11.85546875" style="4" customWidth="1"/>
    <col min="6409" max="6409" width="16.42578125" style="4" customWidth="1"/>
    <col min="6410" max="6410" width="0" style="4" hidden="1" customWidth="1"/>
    <col min="6411" max="6411" width="16.5703125" style="4" customWidth="1"/>
    <col min="6412" max="6413" width="0" style="4" hidden="1" customWidth="1"/>
    <col min="6414" max="6415" width="16.5703125" style="4" customWidth="1"/>
    <col min="6416" max="6416" width="5.140625" style="4" customWidth="1"/>
    <col min="6417" max="6417" width="16.5703125" style="4" customWidth="1"/>
    <col min="6418" max="6418" width="5.140625" style="4" customWidth="1"/>
    <col min="6419" max="6419" width="16.5703125" style="4" customWidth="1"/>
    <col min="6420" max="6420" width="5.140625" style="4" customWidth="1"/>
    <col min="6421" max="6421" width="16.5703125" style="4" customWidth="1"/>
    <col min="6422" max="6422" width="5.140625" style="4" customWidth="1"/>
    <col min="6423" max="6423" width="15.28515625" style="4" customWidth="1"/>
    <col min="6424" max="6424" width="4.7109375" style="4" customWidth="1"/>
    <col min="6425" max="6425" width="0" style="4" hidden="1" customWidth="1"/>
    <col min="6426" max="6426" width="6.5703125" style="4" customWidth="1"/>
    <col min="6427" max="6427" width="10.5703125" style="4" customWidth="1"/>
    <col min="6428" max="6428" width="17.42578125" style="4" customWidth="1"/>
    <col min="6429" max="6429" width="7.7109375" style="4" customWidth="1"/>
    <col min="6430" max="6430" width="15.42578125" style="4" customWidth="1"/>
    <col min="6431" max="6431" width="16.42578125" style="4" customWidth="1"/>
    <col min="6432" max="6432" width="17.28515625" style="4" customWidth="1"/>
    <col min="6433" max="6433" width="0" style="4" hidden="1" customWidth="1"/>
    <col min="6434" max="6434" width="19" style="4" customWidth="1"/>
    <col min="6435" max="6437" width="26" style="4" customWidth="1"/>
    <col min="6438" max="6438" width="35.42578125" style="4" customWidth="1"/>
    <col min="6439" max="6439" width="27.5703125" style="4" customWidth="1"/>
    <col min="6440" max="6440" width="9.140625" style="4" customWidth="1"/>
    <col min="6441" max="6441" width="26.7109375" style="4" customWidth="1"/>
    <col min="6442" max="6442" width="17.28515625" style="4" customWidth="1"/>
    <col min="6443" max="6608" width="9.140625" style="4" customWidth="1"/>
    <col min="6609" max="6610" width="3" style="4" customWidth="1"/>
    <col min="6611" max="6611" width="4.42578125" style="4" bestFit="1" customWidth="1"/>
    <col min="6612" max="6612" width="59.140625" style="4" customWidth="1"/>
    <col min="6613" max="6613" width="0" style="4" hidden="1" customWidth="1"/>
    <col min="6614" max="6614" width="12.7109375" style="4" customWidth="1"/>
    <col min="6615" max="6615" width="8.28515625" style="4" customWidth="1"/>
    <col min="6616" max="6616" width="14.42578125" style="4" customWidth="1"/>
    <col min="6617" max="6617" width="7.28515625" style="4" customWidth="1"/>
    <col min="6618" max="6618" width="9.5703125" style="4" customWidth="1"/>
    <col min="6619" max="6619" width="17" style="4" customWidth="1"/>
    <col min="6620" max="6620" width="0" style="4" hidden="1" customWidth="1"/>
    <col min="6621" max="6621" width="15.140625" style="4" customWidth="1"/>
    <col min="6622" max="6622" width="13.85546875" style="4" customWidth="1"/>
    <col min="6623" max="6623" width="4.42578125" style="4" customWidth="1"/>
    <col min="6624" max="6624" width="12.28515625" style="4" customWidth="1"/>
    <col min="6625" max="6625" width="6" style="4" customWidth="1"/>
    <col min="6626" max="6626" width="19.85546875" style="4" customWidth="1"/>
    <col min="6627" max="6627" width="5.140625" style="4" customWidth="1"/>
    <col min="6628" max="6628" width="17.28515625" style="4" bestFit="1" customWidth="1"/>
    <col min="6629" max="6630" width="0" style="4" hidden="1" customWidth="1"/>
    <col min="6631" max="6631" width="5.85546875" style="4" customWidth="1"/>
    <col min="6632" max="6632" width="10.28515625" style="4" customWidth="1"/>
    <col min="6633" max="6633" width="15.42578125" style="4" customWidth="1"/>
    <col min="6634" max="6634" width="11.85546875" style="4" customWidth="1"/>
    <col min="6635" max="6635" width="16.42578125" style="4" customWidth="1"/>
    <col min="6636" max="6636" width="17.28515625" style="4" customWidth="1"/>
    <col min="6637" max="6637" width="19" style="4" bestFit="1" customWidth="1"/>
    <col min="6638" max="6638" width="20" style="4" customWidth="1"/>
    <col min="6639" max="6639" width="18.7109375" style="4" bestFit="1" customWidth="1"/>
    <col min="6640" max="6640" width="17.85546875" style="4" bestFit="1" customWidth="1"/>
    <col min="6641" max="6641" width="16.42578125" style="4" bestFit="1" customWidth="1"/>
    <col min="6642" max="6656" width="9.140625" style="4"/>
    <col min="6657" max="6657" width="6.85546875" style="4" customWidth="1"/>
    <col min="6658" max="6658" width="54.85546875" style="4" customWidth="1"/>
    <col min="6659" max="6659" width="0" style="4" hidden="1" customWidth="1"/>
    <col min="6660" max="6660" width="12.7109375" style="4" customWidth="1"/>
    <col min="6661" max="6661" width="13.85546875" style="4" customWidth="1"/>
    <col min="6662" max="6662" width="19.42578125" style="4" customWidth="1"/>
    <col min="6663" max="6663" width="9.28515625" style="4" customWidth="1"/>
    <col min="6664" max="6664" width="11.85546875" style="4" customWidth="1"/>
    <col min="6665" max="6665" width="16.42578125" style="4" customWidth="1"/>
    <col min="6666" max="6666" width="0" style="4" hidden="1" customWidth="1"/>
    <col min="6667" max="6667" width="16.5703125" style="4" customWidth="1"/>
    <col min="6668" max="6669" width="0" style="4" hidden="1" customWidth="1"/>
    <col min="6670" max="6671" width="16.5703125" style="4" customWidth="1"/>
    <col min="6672" max="6672" width="5.140625" style="4" customWidth="1"/>
    <col min="6673" max="6673" width="16.5703125" style="4" customWidth="1"/>
    <col min="6674" max="6674" width="5.140625" style="4" customWidth="1"/>
    <col min="6675" max="6675" width="16.5703125" style="4" customWidth="1"/>
    <col min="6676" max="6676" width="5.140625" style="4" customWidth="1"/>
    <col min="6677" max="6677" width="16.5703125" style="4" customWidth="1"/>
    <col min="6678" max="6678" width="5.140625" style="4" customWidth="1"/>
    <col min="6679" max="6679" width="15.28515625" style="4" customWidth="1"/>
    <col min="6680" max="6680" width="4.7109375" style="4" customWidth="1"/>
    <col min="6681" max="6681" width="0" style="4" hidden="1" customWidth="1"/>
    <col min="6682" max="6682" width="6.5703125" style="4" customWidth="1"/>
    <col min="6683" max="6683" width="10.5703125" style="4" customWidth="1"/>
    <col min="6684" max="6684" width="17.42578125" style="4" customWidth="1"/>
    <col min="6685" max="6685" width="7.7109375" style="4" customWidth="1"/>
    <col min="6686" max="6686" width="15.42578125" style="4" customWidth="1"/>
    <col min="6687" max="6687" width="16.42578125" style="4" customWidth="1"/>
    <col min="6688" max="6688" width="17.28515625" style="4" customWidth="1"/>
    <col min="6689" max="6689" width="0" style="4" hidden="1" customWidth="1"/>
    <col min="6690" max="6690" width="19" style="4" customWidth="1"/>
    <col min="6691" max="6693" width="26" style="4" customWidth="1"/>
    <col min="6694" max="6694" width="35.42578125" style="4" customWidth="1"/>
    <col min="6695" max="6695" width="27.5703125" style="4" customWidth="1"/>
    <col min="6696" max="6696" width="9.140625" style="4" customWidth="1"/>
    <col min="6697" max="6697" width="26.7109375" style="4" customWidth="1"/>
    <col min="6698" max="6698" width="17.28515625" style="4" customWidth="1"/>
    <col min="6699" max="6864" width="9.140625" style="4" customWidth="1"/>
    <col min="6865" max="6866" width="3" style="4" customWidth="1"/>
    <col min="6867" max="6867" width="4.42578125" style="4" bestFit="1" customWidth="1"/>
    <col min="6868" max="6868" width="59.140625" style="4" customWidth="1"/>
    <col min="6869" max="6869" width="0" style="4" hidden="1" customWidth="1"/>
    <col min="6870" max="6870" width="12.7109375" style="4" customWidth="1"/>
    <col min="6871" max="6871" width="8.28515625" style="4" customWidth="1"/>
    <col min="6872" max="6872" width="14.42578125" style="4" customWidth="1"/>
    <col min="6873" max="6873" width="7.28515625" style="4" customWidth="1"/>
    <col min="6874" max="6874" width="9.5703125" style="4" customWidth="1"/>
    <col min="6875" max="6875" width="17" style="4" customWidth="1"/>
    <col min="6876" max="6876" width="0" style="4" hidden="1" customWidth="1"/>
    <col min="6877" max="6877" width="15.140625" style="4" customWidth="1"/>
    <col min="6878" max="6878" width="13.85546875" style="4" customWidth="1"/>
    <col min="6879" max="6879" width="4.42578125" style="4" customWidth="1"/>
    <col min="6880" max="6880" width="12.28515625" style="4" customWidth="1"/>
    <col min="6881" max="6881" width="6" style="4" customWidth="1"/>
    <col min="6882" max="6882" width="19.85546875" style="4" customWidth="1"/>
    <col min="6883" max="6883" width="5.140625" style="4" customWidth="1"/>
    <col min="6884" max="6884" width="17.28515625" style="4" bestFit="1" customWidth="1"/>
    <col min="6885" max="6886" width="0" style="4" hidden="1" customWidth="1"/>
    <col min="6887" max="6887" width="5.85546875" style="4" customWidth="1"/>
    <col min="6888" max="6888" width="10.28515625" style="4" customWidth="1"/>
    <col min="6889" max="6889" width="15.42578125" style="4" customWidth="1"/>
    <col min="6890" max="6890" width="11.85546875" style="4" customWidth="1"/>
    <col min="6891" max="6891" width="16.42578125" style="4" customWidth="1"/>
    <col min="6892" max="6892" width="17.28515625" style="4" customWidth="1"/>
    <col min="6893" max="6893" width="19" style="4" bestFit="1" customWidth="1"/>
    <col min="6894" max="6894" width="20" style="4" customWidth="1"/>
    <col min="6895" max="6895" width="18.7109375" style="4" bestFit="1" customWidth="1"/>
    <col min="6896" max="6896" width="17.85546875" style="4" bestFit="1" customWidth="1"/>
    <col min="6897" max="6897" width="16.42578125" style="4" bestFit="1" customWidth="1"/>
    <col min="6898" max="6912" width="9.140625" style="4"/>
    <col min="6913" max="6913" width="6.85546875" style="4" customWidth="1"/>
    <col min="6914" max="6914" width="54.85546875" style="4" customWidth="1"/>
    <col min="6915" max="6915" width="0" style="4" hidden="1" customWidth="1"/>
    <col min="6916" max="6916" width="12.7109375" style="4" customWidth="1"/>
    <col min="6917" max="6917" width="13.85546875" style="4" customWidth="1"/>
    <col min="6918" max="6918" width="19.42578125" style="4" customWidth="1"/>
    <col min="6919" max="6919" width="9.28515625" style="4" customWidth="1"/>
    <col min="6920" max="6920" width="11.85546875" style="4" customWidth="1"/>
    <col min="6921" max="6921" width="16.42578125" style="4" customWidth="1"/>
    <col min="6922" max="6922" width="0" style="4" hidden="1" customWidth="1"/>
    <col min="6923" max="6923" width="16.5703125" style="4" customWidth="1"/>
    <col min="6924" max="6925" width="0" style="4" hidden="1" customWidth="1"/>
    <col min="6926" max="6927" width="16.5703125" style="4" customWidth="1"/>
    <col min="6928" max="6928" width="5.140625" style="4" customWidth="1"/>
    <col min="6929" max="6929" width="16.5703125" style="4" customWidth="1"/>
    <col min="6930" max="6930" width="5.140625" style="4" customWidth="1"/>
    <col min="6931" max="6931" width="16.5703125" style="4" customWidth="1"/>
    <col min="6932" max="6932" width="5.140625" style="4" customWidth="1"/>
    <col min="6933" max="6933" width="16.5703125" style="4" customWidth="1"/>
    <col min="6934" max="6934" width="5.140625" style="4" customWidth="1"/>
    <col min="6935" max="6935" width="15.28515625" style="4" customWidth="1"/>
    <col min="6936" max="6936" width="4.7109375" style="4" customWidth="1"/>
    <col min="6937" max="6937" width="0" style="4" hidden="1" customWidth="1"/>
    <col min="6938" max="6938" width="6.5703125" style="4" customWidth="1"/>
    <col min="6939" max="6939" width="10.5703125" style="4" customWidth="1"/>
    <col min="6940" max="6940" width="17.42578125" style="4" customWidth="1"/>
    <col min="6941" max="6941" width="7.7109375" style="4" customWidth="1"/>
    <col min="6942" max="6942" width="15.42578125" style="4" customWidth="1"/>
    <col min="6943" max="6943" width="16.42578125" style="4" customWidth="1"/>
    <col min="6944" max="6944" width="17.28515625" style="4" customWidth="1"/>
    <col min="6945" max="6945" width="0" style="4" hidden="1" customWidth="1"/>
    <col min="6946" max="6946" width="19" style="4" customWidth="1"/>
    <col min="6947" max="6949" width="26" style="4" customWidth="1"/>
    <col min="6950" max="6950" width="35.42578125" style="4" customWidth="1"/>
    <col min="6951" max="6951" width="27.5703125" style="4" customWidth="1"/>
    <col min="6952" max="6952" width="9.140625" style="4" customWidth="1"/>
    <col min="6953" max="6953" width="26.7109375" style="4" customWidth="1"/>
    <col min="6954" max="6954" width="17.28515625" style="4" customWidth="1"/>
    <col min="6955" max="7120" width="9.140625" style="4" customWidth="1"/>
    <col min="7121" max="7122" width="3" style="4" customWidth="1"/>
    <col min="7123" max="7123" width="4.42578125" style="4" bestFit="1" customWidth="1"/>
    <col min="7124" max="7124" width="59.140625" style="4" customWidth="1"/>
    <col min="7125" max="7125" width="0" style="4" hidden="1" customWidth="1"/>
    <col min="7126" max="7126" width="12.7109375" style="4" customWidth="1"/>
    <col min="7127" max="7127" width="8.28515625" style="4" customWidth="1"/>
    <col min="7128" max="7128" width="14.42578125" style="4" customWidth="1"/>
    <col min="7129" max="7129" width="7.28515625" style="4" customWidth="1"/>
    <col min="7130" max="7130" width="9.5703125" style="4" customWidth="1"/>
    <col min="7131" max="7131" width="17" style="4" customWidth="1"/>
    <col min="7132" max="7132" width="0" style="4" hidden="1" customWidth="1"/>
    <col min="7133" max="7133" width="15.140625" style="4" customWidth="1"/>
    <col min="7134" max="7134" width="13.85546875" style="4" customWidth="1"/>
    <col min="7135" max="7135" width="4.42578125" style="4" customWidth="1"/>
    <col min="7136" max="7136" width="12.28515625" style="4" customWidth="1"/>
    <col min="7137" max="7137" width="6" style="4" customWidth="1"/>
    <col min="7138" max="7138" width="19.85546875" style="4" customWidth="1"/>
    <col min="7139" max="7139" width="5.140625" style="4" customWidth="1"/>
    <col min="7140" max="7140" width="17.28515625" style="4" bestFit="1" customWidth="1"/>
    <col min="7141" max="7142" width="0" style="4" hidden="1" customWidth="1"/>
    <col min="7143" max="7143" width="5.85546875" style="4" customWidth="1"/>
    <col min="7144" max="7144" width="10.28515625" style="4" customWidth="1"/>
    <col min="7145" max="7145" width="15.42578125" style="4" customWidth="1"/>
    <col min="7146" max="7146" width="11.85546875" style="4" customWidth="1"/>
    <col min="7147" max="7147" width="16.42578125" style="4" customWidth="1"/>
    <col min="7148" max="7148" width="17.28515625" style="4" customWidth="1"/>
    <col min="7149" max="7149" width="19" style="4" bestFit="1" customWidth="1"/>
    <col min="7150" max="7150" width="20" style="4" customWidth="1"/>
    <col min="7151" max="7151" width="18.7109375" style="4" bestFit="1" customWidth="1"/>
    <col min="7152" max="7152" width="17.85546875" style="4" bestFit="1" customWidth="1"/>
    <col min="7153" max="7153" width="16.42578125" style="4" bestFit="1" customWidth="1"/>
    <col min="7154" max="7168" width="9.140625" style="4"/>
    <col min="7169" max="7169" width="6.85546875" style="4" customWidth="1"/>
    <col min="7170" max="7170" width="54.85546875" style="4" customWidth="1"/>
    <col min="7171" max="7171" width="0" style="4" hidden="1" customWidth="1"/>
    <col min="7172" max="7172" width="12.7109375" style="4" customWidth="1"/>
    <col min="7173" max="7173" width="13.85546875" style="4" customWidth="1"/>
    <col min="7174" max="7174" width="19.42578125" style="4" customWidth="1"/>
    <col min="7175" max="7175" width="9.28515625" style="4" customWidth="1"/>
    <col min="7176" max="7176" width="11.85546875" style="4" customWidth="1"/>
    <col min="7177" max="7177" width="16.42578125" style="4" customWidth="1"/>
    <col min="7178" max="7178" width="0" style="4" hidden="1" customWidth="1"/>
    <col min="7179" max="7179" width="16.5703125" style="4" customWidth="1"/>
    <col min="7180" max="7181" width="0" style="4" hidden="1" customWidth="1"/>
    <col min="7182" max="7183" width="16.5703125" style="4" customWidth="1"/>
    <col min="7184" max="7184" width="5.140625" style="4" customWidth="1"/>
    <col min="7185" max="7185" width="16.5703125" style="4" customWidth="1"/>
    <col min="7186" max="7186" width="5.140625" style="4" customWidth="1"/>
    <col min="7187" max="7187" width="16.5703125" style="4" customWidth="1"/>
    <col min="7188" max="7188" width="5.140625" style="4" customWidth="1"/>
    <col min="7189" max="7189" width="16.5703125" style="4" customWidth="1"/>
    <col min="7190" max="7190" width="5.140625" style="4" customWidth="1"/>
    <col min="7191" max="7191" width="15.28515625" style="4" customWidth="1"/>
    <col min="7192" max="7192" width="4.7109375" style="4" customWidth="1"/>
    <col min="7193" max="7193" width="0" style="4" hidden="1" customWidth="1"/>
    <col min="7194" max="7194" width="6.5703125" style="4" customWidth="1"/>
    <col min="7195" max="7195" width="10.5703125" style="4" customWidth="1"/>
    <col min="7196" max="7196" width="17.42578125" style="4" customWidth="1"/>
    <col min="7197" max="7197" width="7.7109375" style="4" customWidth="1"/>
    <col min="7198" max="7198" width="15.42578125" style="4" customWidth="1"/>
    <col min="7199" max="7199" width="16.42578125" style="4" customWidth="1"/>
    <col min="7200" max="7200" width="17.28515625" style="4" customWidth="1"/>
    <col min="7201" max="7201" width="0" style="4" hidden="1" customWidth="1"/>
    <col min="7202" max="7202" width="19" style="4" customWidth="1"/>
    <col min="7203" max="7205" width="26" style="4" customWidth="1"/>
    <col min="7206" max="7206" width="35.42578125" style="4" customWidth="1"/>
    <col min="7207" max="7207" width="27.5703125" style="4" customWidth="1"/>
    <col min="7208" max="7208" width="9.140625" style="4" customWidth="1"/>
    <col min="7209" max="7209" width="26.7109375" style="4" customWidth="1"/>
    <col min="7210" max="7210" width="17.28515625" style="4" customWidth="1"/>
    <col min="7211" max="7376" width="9.140625" style="4" customWidth="1"/>
    <col min="7377" max="7378" width="3" style="4" customWidth="1"/>
    <col min="7379" max="7379" width="4.42578125" style="4" bestFit="1" customWidth="1"/>
    <col min="7380" max="7380" width="59.140625" style="4" customWidth="1"/>
    <col min="7381" max="7381" width="0" style="4" hidden="1" customWidth="1"/>
    <col min="7382" max="7382" width="12.7109375" style="4" customWidth="1"/>
    <col min="7383" max="7383" width="8.28515625" style="4" customWidth="1"/>
    <col min="7384" max="7384" width="14.42578125" style="4" customWidth="1"/>
    <col min="7385" max="7385" width="7.28515625" style="4" customWidth="1"/>
    <col min="7386" max="7386" width="9.5703125" style="4" customWidth="1"/>
    <col min="7387" max="7387" width="17" style="4" customWidth="1"/>
    <col min="7388" max="7388" width="0" style="4" hidden="1" customWidth="1"/>
    <col min="7389" max="7389" width="15.140625" style="4" customWidth="1"/>
    <col min="7390" max="7390" width="13.85546875" style="4" customWidth="1"/>
    <col min="7391" max="7391" width="4.42578125" style="4" customWidth="1"/>
    <col min="7392" max="7392" width="12.28515625" style="4" customWidth="1"/>
    <col min="7393" max="7393" width="6" style="4" customWidth="1"/>
    <col min="7394" max="7394" width="19.85546875" style="4" customWidth="1"/>
    <col min="7395" max="7395" width="5.140625" style="4" customWidth="1"/>
    <col min="7396" max="7396" width="17.28515625" style="4" bestFit="1" customWidth="1"/>
    <col min="7397" max="7398" width="0" style="4" hidden="1" customWidth="1"/>
    <col min="7399" max="7399" width="5.85546875" style="4" customWidth="1"/>
    <col min="7400" max="7400" width="10.28515625" style="4" customWidth="1"/>
    <col min="7401" max="7401" width="15.42578125" style="4" customWidth="1"/>
    <col min="7402" max="7402" width="11.85546875" style="4" customWidth="1"/>
    <col min="7403" max="7403" width="16.42578125" style="4" customWidth="1"/>
    <col min="7404" max="7404" width="17.28515625" style="4" customWidth="1"/>
    <col min="7405" max="7405" width="19" style="4" bestFit="1" customWidth="1"/>
    <col min="7406" max="7406" width="20" style="4" customWidth="1"/>
    <col min="7407" max="7407" width="18.7109375" style="4" bestFit="1" customWidth="1"/>
    <col min="7408" max="7408" width="17.85546875" style="4" bestFit="1" customWidth="1"/>
    <col min="7409" max="7409" width="16.42578125" style="4" bestFit="1" customWidth="1"/>
    <col min="7410" max="7424" width="9.140625" style="4"/>
    <col min="7425" max="7425" width="6.85546875" style="4" customWidth="1"/>
    <col min="7426" max="7426" width="54.85546875" style="4" customWidth="1"/>
    <col min="7427" max="7427" width="0" style="4" hidden="1" customWidth="1"/>
    <col min="7428" max="7428" width="12.7109375" style="4" customWidth="1"/>
    <col min="7429" max="7429" width="13.85546875" style="4" customWidth="1"/>
    <col min="7430" max="7430" width="19.42578125" style="4" customWidth="1"/>
    <col min="7431" max="7431" width="9.28515625" style="4" customWidth="1"/>
    <col min="7432" max="7432" width="11.85546875" style="4" customWidth="1"/>
    <col min="7433" max="7433" width="16.42578125" style="4" customWidth="1"/>
    <col min="7434" max="7434" width="0" style="4" hidden="1" customWidth="1"/>
    <col min="7435" max="7435" width="16.5703125" style="4" customWidth="1"/>
    <col min="7436" max="7437" width="0" style="4" hidden="1" customWidth="1"/>
    <col min="7438" max="7439" width="16.5703125" style="4" customWidth="1"/>
    <col min="7440" max="7440" width="5.140625" style="4" customWidth="1"/>
    <col min="7441" max="7441" width="16.5703125" style="4" customWidth="1"/>
    <col min="7442" max="7442" width="5.140625" style="4" customWidth="1"/>
    <col min="7443" max="7443" width="16.5703125" style="4" customWidth="1"/>
    <col min="7444" max="7444" width="5.140625" style="4" customWidth="1"/>
    <col min="7445" max="7445" width="16.5703125" style="4" customWidth="1"/>
    <col min="7446" max="7446" width="5.140625" style="4" customWidth="1"/>
    <col min="7447" max="7447" width="15.28515625" style="4" customWidth="1"/>
    <col min="7448" max="7448" width="4.7109375" style="4" customWidth="1"/>
    <col min="7449" max="7449" width="0" style="4" hidden="1" customWidth="1"/>
    <col min="7450" max="7450" width="6.5703125" style="4" customWidth="1"/>
    <col min="7451" max="7451" width="10.5703125" style="4" customWidth="1"/>
    <col min="7452" max="7452" width="17.42578125" style="4" customWidth="1"/>
    <col min="7453" max="7453" width="7.7109375" style="4" customWidth="1"/>
    <col min="7454" max="7454" width="15.42578125" style="4" customWidth="1"/>
    <col min="7455" max="7455" width="16.42578125" style="4" customWidth="1"/>
    <col min="7456" max="7456" width="17.28515625" style="4" customWidth="1"/>
    <col min="7457" max="7457" width="0" style="4" hidden="1" customWidth="1"/>
    <col min="7458" max="7458" width="19" style="4" customWidth="1"/>
    <col min="7459" max="7461" width="26" style="4" customWidth="1"/>
    <col min="7462" max="7462" width="35.42578125" style="4" customWidth="1"/>
    <col min="7463" max="7463" width="27.5703125" style="4" customWidth="1"/>
    <col min="7464" max="7464" width="9.140625" style="4" customWidth="1"/>
    <col min="7465" max="7465" width="26.7109375" style="4" customWidth="1"/>
    <col min="7466" max="7466" width="17.28515625" style="4" customWidth="1"/>
    <col min="7467" max="7632" width="9.140625" style="4" customWidth="1"/>
    <col min="7633" max="7634" width="3" style="4" customWidth="1"/>
    <col min="7635" max="7635" width="4.42578125" style="4" bestFit="1" customWidth="1"/>
    <col min="7636" max="7636" width="59.140625" style="4" customWidth="1"/>
    <col min="7637" max="7637" width="0" style="4" hidden="1" customWidth="1"/>
    <col min="7638" max="7638" width="12.7109375" style="4" customWidth="1"/>
    <col min="7639" max="7639" width="8.28515625" style="4" customWidth="1"/>
    <col min="7640" max="7640" width="14.42578125" style="4" customWidth="1"/>
    <col min="7641" max="7641" width="7.28515625" style="4" customWidth="1"/>
    <col min="7642" max="7642" width="9.5703125" style="4" customWidth="1"/>
    <col min="7643" max="7643" width="17" style="4" customWidth="1"/>
    <col min="7644" max="7644" width="0" style="4" hidden="1" customWidth="1"/>
    <col min="7645" max="7645" width="15.140625" style="4" customWidth="1"/>
    <col min="7646" max="7646" width="13.85546875" style="4" customWidth="1"/>
    <col min="7647" max="7647" width="4.42578125" style="4" customWidth="1"/>
    <col min="7648" max="7648" width="12.28515625" style="4" customWidth="1"/>
    <col min="7649" max="7649" width="6" style="4" customWidth="1"/>
    <col min="7650" max="7650" width="19.85546875" style="4" customWidth="1"/>
    <col min="7651" max="7651" width="5.140625" style="4" customWidth="1"/>
    <col min="7652" max="7652" width="17.28515625" style="4" bestFit="1" customWidth="1"/>
    <col min="7653" max="7654" width="0" style="4" hidden="1" customWidth="1"/>
    <col min="7655" max="7655" width="5.85546875" style="4" customWidth="1"/>
    <col min="7656" max="7656" width="10.28515625" style="4" customWidth="1"/>
    <col min="7657" max="7657" width="15.42578125" style="4" customWidth="1"/>
    <col min="7658" max="7658" width="11.85546875" style="4" customWidth="1"/>
    <col min="7659" max="7659" width="16.42578125" style="4" customWidth="1"/>
    <col min="7660" max="7660" width="17.28515625" style="4" customWidth="1"/>
    <col min="7661" max="7661" width="19" style="4" bestFit="1" customWidth="1"/>
    <col min="7662" max="7662" width="20" style="4" customWidth="1"/>
    <col min="7663" max="7663" width="18.7109375" style="4" bestFit="1" customWidth="1"/>
    <col min="7664" max="7664" width="17.85546875" style="4" bestFit="1" customWidth="1"/>
    <col min="7665" max="7665" width="16.42578125" style="4" bestFit="1" customWidth="1"/>
    <col min="7666" max="7680" width="9.140625" style="4"/>
    <col min="7681" max="7681" width="6.85546875" style="4" customWidth="1"/>
    <col min="7682" max="7682" width="54.85546875" style="4" customWidth="1"/>
    <col min="7683" max="7683" width="0" style="4" hidden="1" customWidth="1"/>
    <col min="7684" max="7684" width="12.7109375" style="4" customWidth="1"/>
    <col min="7685" max="7685" width="13.85546875" style="4" customWidth="1"/>
    <col min="7686" max="7686" width="19.42578125" style="4" customWidth="1"/>
    <col min="7687" max="7687" width="9.28515625" style="4" customWidth="1"/>
    <col min="7688" max="7688" width="11.85546875" style="4" customWidth="1"/>
    <col min="7689" max="7689" width="16.42578125" style="4" customWidth="1"/>
    <col min="7690" max="7690" width="0" style="4" hidden="1" customWidth="1"/>
    <col min="7691" max="7691" width="16.5703125" style="4" customWidth="1"/>
    <col min="7692" max="7693" width="0" style="4" hidden="1" customWidth="1"/>
    <col min="7694" max="7695" width="16.5703125" style="4" customWidth="1"/>
    <col min="7696" max="7696" width="5.140625" style="4" customWidth="1"/>
    <col min="7697" max="7697" width="16.5703125" style="4" customWidth="1"/>
    <col min="7698" max="7698" width="5.140625" style="4" customWidth="1"/>
    <col min="7699" max="7699" width="16.5703125" style="4" customWidth="1"/>
    <col min="7700" max="7700" width="5.140625" style="4" customWidth="1"/>
    <col min="7701" max="7701" width="16.5703125" style="4" customWidth="1"/>
    <col min="7702" max="7702" width="5.140625" style="4" customWidth="1"/>
    <col min="7703" max="7703" width="15.28515625" style="4" customWidth="1"/>
    <col min="7704" max="7704" width="4.7109375" style="4" customWidth="1"/>
    <col min="7705" max="7705" width="0" style="4" hidden="1" customWidth="1"/>
    <col min="7706" max="7706" width="6.5703125" style="4" customWidth="1"/>
    <col min="7707" max="7707" width="10.5703125" style="4" customWidth="1"/>
    <col min="7708" max="7708" width="17.42578125" style="4" customWidth="1"/>
    <col min="7709" max="7709" width="7.7109375" style="4" customWidth="1"/>
    <col min="7710" max="7710" width="15.42578125" style="4" customWidth="1"/>
    <col min="7711" max="7711" width="16.42578125" style="4" customWidth="1"/>
    <col min="7712" max="7712" width="17.28515625" style="4" customWidth="1"/>
    <col min="7713" max="7713" width="0" style="4" hidden="1" customWidth="1"/>
    <col min="7714" max="7714" width="19" style="4" customWidth="1"/>
    <col min="7715" max="7717" width="26" style="4" customWidth="1"/>
    <col min="7718" max="7718" width="35.42578125" style="4" customWidth="1"/>
    <col min="7719" max="7719" width="27.5703125" style="4" customWidth="1"/>
    <col min="7720" max="7720" width="9.140625" style="4" customWidth="1"/>
    <col min="7721" max="7721" width="26.7109375" style="4" customWidth="1"/>
    <col min="7722" max="7722" width="17.28515625" style="4" customWidth="1"/>
    <col min="7723" max="7888" width="9.140625" style="4" customWidth="1"/>
    <col min="7889" max="7890" width="3" style="4" customWidth="1"/>
    <col min="7891" max="7891" width="4.42578125" style="4" bestFit="1" customWidth="1"/>
    <col min="7892" max="7892" width="59.140625" style="4" customWidth="1"/>
    <col min="7893" max="7893" width="0" style="4" hidden="1" customWidth="1"/>
    <col min="7894" max="7894" width="12.7109375" style="4" customWidth="1"/>
    <col min="7895" max="7895" width="8.28515625" style="4" customWidth="1"/>
    <col min="7896" max="7896" width="14.42578125" style="4" customWidth="1"/>
    <col min="7897" max="7897" width="7.28515625" style="4" customWidth="1"/>
    <col min="7898" max="7898" width="9.5703125" style="4" customWidth="1"/>
    <col min="7899" max="7899" width="17" style="4" customWidth="1"/>
    <col min="7900" max="7900" width="0" style="4" hidden="1" customWidth="1"/>
    <col min="7901" max="7901" width="15.140625" style="4" customWidth="1"/>
    <col min="7902" max="7902" width="13.85546875" style="4" customWidth="1"/>
    <col min="7903" max="7903" width="4.42578125" style="4" customWidth="1"/>
    <col min="7904" max="7904" width="12.28515625" style="4" customWidth="1"/>
    <col min="7905" max="7905" width="6" style="4" customWidth="1"/>
    <col min="7906" max="7906" width="19.85546875" style="4" customWidth="1"/>
    <col min="7907" max="7907" width="5.140625" style="4" customWidth="1"/>
    <col min="7908" max="7908" width="17.28515625" style="4" bestFit="1" customWidth="1"/>
    <col min="7909" max="7910" width="0" style="4" hidden="1" customWidth="1"/>
    <col min="7911" max="7911" width="5.85546875" style="4" customWidth="1"/>
    <col min="7912" max="7912" width="10.28515625" style="4" customWidth="1"/>
    <col min="7913" max="7913" width="15.42578125" style="4" customWidth="1"/>
    <col min="7914" max="7914" width="11.85546875" style="4" customWidth="1"/>
    <col min="7915" max="7915" width="16.42578125" style="4" customWidth="1"/>
    <col min="7916" max="7916" width="17.28515625" style="4" customWidth="1"/>
    <col min="7917" max="7917" width="19" style="4" bestFit="1" customWidth="1"/>
    <col min="7918" max="7918" width="20" style="4" customWidth="1"/>
    <col min="7919" max="7919" width="18.7109375" style="4" bestFit="1" customWidth="1"/>
    <col min="7920" max="7920" width="17.85546875" style="4" bestFit="1" customWidth="1"/>
    <col min="7921" max="7921" width="16.42578125" style="4" bestFit="1" customWidth="1"/>
    <col min="7922" max="7936" width="9.140625" style="4"/>
    <col min="7937" max="7937" width="6.85546875" style="4" customWidth="1"/>
    <col min="7938" max="7938" width="54.85546875" style="4" customWidth="1"/>
    <col min="7939" max="7939" width="0" style="4" hidden="1" customWidth="1"/>
    <col min="7940" max="7940" width="12.7109375" style="4" customWidth="1"/>
    <col min="7941" max="7941" width="13.85546875" style="4" customWidth="1"/>
    <col min="7942" max="7942" width="19.42578125" style="4" customWidth="1"/>
    <col min="7943" max="7943" width="9.28515625" style="4" customWidth="1"/>
    <col min="7944" max="7944" width="11.85546875" style="4" customWidth="1"/>
    <col min="7945" max="7945" width="16.42578125" style="4" customWidth="1"/>
    <col min="7946" max="7946" width="0" style="4" hidden="1" customWidth="1"/>
    <col min="7947" max="7947" width="16.5703125" style="4" customWidth="1"/>
    <col min="7948" max="7949" width="0" style="4" hidden="1" customWidth="1"/>
    <col min="7950" max="7951" width="16.5703125" style="4" customWidth="1"/>
    <col min="7952" max="7952" width="5.140625" style="4" customWidth="1"/>
    <col min="7953" max="7953" width="16.5703125" style="4" customWidth="1"/>
    <col min="7954" max="7954" width="5.140625" style="4" customWidth="1"/>
    <col min="7955" max="7955" width="16.5703125" style="4" customWidth="1"/>
    <col min="7956" max="7956" width="5.140625" style="4" customWidth="1"/>
    <col min="7957" max="7957" width="16.5703125" style="4" customWidth="1"/>
    <col min="7958" max="7958" width="5.140625" style="4" customWidth="1"/>
    <col min="7959" max="7959" width="15.28515625" style="4" customWidth="1"/>
    <col min="7960" max="7960" width="4.7109375" style="4" customWidth="1"/>
    <col min="7961" max="7961" width="0" style="4" hidden="1" customWidth="1"/>
    <col min="7962" max="7962" width="6.5703125" style="4" customWidth="1"/>
    <col min="7963" max="7963" width="10.5703125" style="4" customWidth="1"/>
    <col min="7964" max="7964" width="17.42578125" style="4" customWidth="1"/>
    <col min="7965" max="7965" width="7.7109375" style="4" customWidth="1"/>
    <col min="7966" max="7966" width="15.42578125" style="4" customWidth="1"/>
    <col min="7967" max="7967" width="16.42578125" style="4" customWidth="1"/>
    <col min="7968" max="7968" width="17.28515625" style="4" customWidth="1"/>
    <col min="7969" max="7969" width="0" style="4" hidden="1" customWidth="1"/>
    <col min="7970" max="7970" width="19" style="4" customWidth="1"/>
    <col min="7971" max="7973" width="26" style="4" customWidth="1"/>
    <col min="7974" max="7974" width="35.42578125" style="4" customWidth="1"/>
    <col min="7975" max="7975" width="27.5703125" style="4" customWidth="1"/>
    <col min="7976" max="7976" width="9.140625" style="4" customWidth="1"/>
    <col min="7977" max="7977" width="26.7109375" style="4" customWidth="1"/>
    <col min="7978" max="7978" width="17.28515625" style="4" customWidth="1"/>
    <col min="7979" max="8144" width="9.140625" style="4" customWidth="1"/>
    <col min="8145" max="8146" width="3" style="4" customWidth="1"/>
    <col min="8147" max="8147" width="4.42578125" style="4" bestFit="1" customWidth="1"/>
    <col min="8148" max="8148" width="59.140625" style="4" customWidth="1"/>
    <col min="8149" max="8149" width="0" style="4" hidden="1" customWidth="1"/>
    <col min="8150" max="8150" width="12.7109375" style="4" customWidth="1"/>
    <col min="8151" max="8151" width="8.28515625" style="4" customWidth="1"/>
    <col min="8152" max="8152" width="14.42578125" style="4" customWidth="1"/>
    <col min="8153" max="8153" width="7.28515625" style="4" customWidth="1"/>
    <col min="8154" max="8154" width="9.5703125" style="4" customWidth="1"/>
    <col min="8155" max="8155" width="17" style="4" customWidth="1"/>
    <col min="8156" max="8156" width="0" style="4" hidden="1" customWidth="1"/>
    <col min="8157" max="8157" width="15.140625" style="4" customWidth="1"/>
    <col min="8158" max="8158" width="13.85546875" style="4" customWidth="1"/>
    <col min="8159" max="8159" width="4.42578125" style="4" customWidth="1"/>
    <col min="8160" max="8160" width="12.28515625" style="4" customWidth="1"/>
    <col min="8161" max="8161" width="6" style="4" customWidth="1"/>
    <col min="8162" max="8162" width="19.85546875" style="4" customWidth="1"/>
    <col min="8163" max="8163" width="5.140625" style="4" customWidth="1"/>
    <col min="8164" max="8164" width="17.28515625" style="4" bestFit="1" customWidth="1"/>
    <col min="8165" max="8166" width="0" style="4" hidden="1" customWidth="1"/>
    <col min="8167" max="8167" width="5.85546875" style="4" customWidth="1"/>
    <col min="8168" max="8168" width="10.28515625" style="4" customWidth="1"/>
    <col min="8169" max="8169" width="15.42578125" style="4" customWidth="1"/>
    <col min="8170" max="8170" width="11.85546875" style="4" customWidth="1"/>
    <col min="8171" max="8171" width="16.42578125" style="4" customWidth="1"/>
    <col min="8172" max="8172" width="17.28515625" style="4" customWidth="1"/>
    <col min="8173" max="8173" width="19" style="4" bestFit="1" customWidth="1"/>
    <col min="8174" max="8174" width="20" style="4" customWidth="1"/>
    <col min="8175" max="8175" width="18.7109375" style="4" bestFit="1" customWidth="1"/>
    <col min="8176" max="8176" width="17.85546875" style="4" bestFit="1" customWidth="1"/>
    <col min="8177" max="8177" width="16.42578125" style="4" bestFit="1" customWidth="1"/>
    <col min="8178" max="8192" width="9.140625" style="4"/>
    <col min="8193" max="8193" width="6.85546875" style="4" customWidth="1"/>
    <col min="8194" max="8194" width="54.85546875" style="4" customWidth="1"/>
    <col min="8195" max="8195" width="0" style="4" hidden="1" customWidth="1"/>
    <col min="8196" max="8196" width="12.7109375" style="4" customWidth="1"/>
    <col min="8197" max="8197" width="13.85546875" style="4" customWidth="1"/>
    <col min="8198" max="8198" width="19.42578125" style="4" customWidth="1"/>
    <col min="8199" max="8199" width="9.28515625" style="4" customWidth="1"/>
    <col min="8200" max="8200" width="11.85546875" style="4" customWidth="1"/>
    <col min="8201" max="8201" width="16.42578125" style="4" customWidth="1"/>
    <col min="8202" max="8202" width="0" style="4" hidden="1" customWidth="1"/>
    <col min="8203" max="8203" width="16.5703125" style="4" customWidth="1"/>
    <col min="8204" max="8205" width="0" style="4" hidden="1" customWidth="1"/>
    <col min="8206" max="8207" width="16.5703125" style="4" customWidth="1"/>
    <col min="8208" max="8208" width="5.140625" style="4" customWidth="1"/>
    <col min="8209" max="8209" width="16.5703125" style="4" customWidth="1"/>
    <col min="8210" max="8210" width="5.140625" style="4" customWidth="1"/>
    <col min="8211" max="8211" width="16.5703125" style="4" customWidth="1"/>
    <col min="8212" max="8212" width="5.140625" style="4" customWidth="1"/>
    <col min="8213" max="8213" width="16.5703125" style="4" customWidth="1"/>
    <col min="8214" max="8214" width="5.140625" style="4" customWidth="1"/>
    <col min="8215" max="8215" width="15.28515625" style="4" customWidth="1"/>
    <col min="8216" max="8216" width="4.7109375" style="4" customWidth="1"/>
    <col min="8217" max="8217" width="0" style="4" hidden="1" customWidth="1"/>
    <col min="8218" max="8218" width="6.5703125" style="4" customWidth="1"/>
    <col min="8219" max="8219" width="10.5703125" style="4" customWidth="1"/>
    <col min="8220" max="8220" width="17.42578125" style="4" customWidth="1"/>
    <col min="8221" max="8221" width="7.7109375" style="4" customWidth="1"/>
    <col min="8222" max="8222" width="15.42578125" style="4" customWidth="1"/>
    <col min="8223" max="8223" width="16.42578125" style="4" customWidth="1"/>
    <col min="8224" max="8224" width="17.28515625" style="4" customWidth="1"/>
    <col min="8225" max="8225" width="0" style="4" hidden="1" customWidth="1"/>
    <col min="8226" max="8226" width="19" style="4" customWidth="1"/>
    <col min="8227" max="8229" width="26" style="4" customWidth="1"/>
    <col min="8230" max="8230" width="35.42578125" style="4" customWidth="1"/>
    <col min="8231" max="8231" width="27.5703125" style="4" customWidth="1"/>
    <col min="8232" max="8232" width="9.140625" style="4" customWidth="1"/>
    <col min="8233" max="8233" width="26.7109375" style="4" customWidth="1"/>
    <col min="8234" max="8234" width="17.28515625" style="4" customWidth="1"/>
    <col min="8235" max="8400" width="9.140625" style="4" customWidth="1"/>
    <col min="8401" max="8402" width="3" style="4" customWidth="1"/>
    <col min="8403" max="8403" width="4.42578125" style="4" bestFit="1" customWidth="1"/>
    <col min="8404" max="8404" width="59.140625" style="4" customWidth="1"/>
    <col min="8405" max="8405" width="0" style="4" hidden="1" customWidth="1"/>
    <col min="8406" max="8406" width="12.7109375" style="4" customWidth="1"/>
    <col min="8407" max="8407" width="8.28515625" style="4" customWidth="1"/>
    <col min="8408" max="8408" width="14.42578125" style="4" customWidth="1"/>
    <col min="8409" max="8409" width="7.28515625" style="4" customWidth="1"/>
    <col min="8410" max="8410" width="9.5703125" style="4" customWidth="1"/>
    <col min="8411" max="8411" width="17" style="4" customWidth="1"/>
    <col min="8412" max="8412" width="0" style="4" hidden="1" customWidth="1"/>
    <col min="8413" max="8413" width="15.140625" style="4" customWidth="1"/>
    <col min="8414" max="8414" width="13.85546875" style="4" customWidth="1"/>
    <col min="8415" max="8415" width="4.42578125" style="4" customWidth="1"/>
    <col min="8416" max="8416" width="12.28515625" style="4" customWidth="1"/>
    <col min="8417" max="8417" width="6" style="4" customWidth="1"/>
    <col min="8418" max="8418" width="19.85546875" style="4" customWidth="1"/>
    <col min="8419" max="8419" width="5.140625" style="4" customWidth="1"/>
    <col min="8420" max="8420" width="17.28515625" style="4" bestFit="1" customWidth="1"/>
    <col min="8421" max="8422" width="0" style="4" hidden="1" customWidth="1"/>
    <col min="8423" max="8423" width="5.85546875" style="4" customWidth="1"/>
    <col min="8424" max="8424" width="10.28515625" style="4" customWidth="1"/>
    <col min="8425" max="8425" width="15.42578125" style="4" customWidth="1"/>
    <col min="8426" max="8426" width="11.85546875" style="4" customWidth="1"/>
    <col min="8427" max="8427" width="16.42578125" style="4" customWidth="1"/>
    <col min="8428" max="8428" width="17.28515625" style="4" customWidth="1"/>
    <col min="8429" max="8429" width="19" style="4" bestFit="1" customWidth="1"/>
    <col min="8430" max="8430" width="20" style="4" customWidth="1"/>
    <col min="8431" max="8431" width="18.7109375" style="4" bestFit="1" customWidth="1"/>
    <col min="8432" max="8432" width="17.85546875" style="4" bestFit="1" customWidth="1"/>
    <col min="8433" max="8433" width="16.42578125" style="4" bestFit="1" customWidth="1"/>
    <col min="8434" max="8448" width="9.140625" style="4"/>
    <col min="8449" max="8449" width="6.85546875" style="4" customWidth="1"/>
    <col min="8450" max="8450" width="54.85546875" style="4" customWidth="1"/>
    <col min="8451" max="8451" width="0" style="4" hidden="1" customWidth="1"/>
    <col min="8452" max="8452" width="12.7109375" style="4" customWidth="1"/>
    <col min="8453" max="8453" width="13.85546875" style="4" customWidth="1"/>
    <col min="8454" max="8454" width="19.42578125" style="4" customWidth="1"/>
    <col min="8455" max="8455" width="9.28515625" style="4" customWidth="1"/>
    <col min="8456" max="8456" width="11.85546875" style="4" customWidth="1"/>
    <col min="8457" max="8457" width="16.42578125" style="4" customWidth="1"/>
    <col min="8458" max="8458" width="0" style="4" hidden="1" customWidth="1"/>
    <col min="8459" max="8459" width="16.5703125" style="4" customWidth="1"/>
    <col min="8460" max="8461" width="0" style="4" hidden="1" customWidth="1"/>
    <col min="8462" max="8463" width="16.5703125" style="4" customWidth="1"/>
    <col min="8464" max="8464" width="5.140625" style="4" customWidth="1"/>
    <col min="8465" max="8465" width="16.5703125" style="4" customWidth="1"/>
    <col min="8466" max="8466" width="5.140625" style="4" customWidth="1"/>
    <col min="8467" max="8467" width="16.5703125" style="4" customWidth="1"/>
    <col min="8468" max="8468" width="5.140625" style="4" customWidth="1"/>
    <col min="8469" max="8469" width="16.5703125" style="4" customWidth="1"/>
    <col min="8470" max="8470" width="5.140625" style="4" customWidth="1"/>
    <col min="8471" max="8471" width="15.28515625" style="4" customWidth="1"/>
    <col min="8472" max="8472" width="4.7109375" style="4" customWidth="1"/>
    <col min="8473" max="8473" width="0" style="4" hidden="1" customWidth="1"/>
    <col min="8474" max="8474" width="6.5703125" style="4" customWidth="1"/>
    <col min="8475" max="8475" width="10.5703125" style="4" customWidth="1"/>
    <col min="8476" max="8476" width="17.42578125" style="4" customWidth="1"/>
    <col min="8477" max="8477" width="7.7109375" style="4" customWidth="1"/>
    <col min="8478" max="8478" width="15.42578125" style="4" customWidth="1"/>
    <col min="8479" max="8479" width="16.42578125" style="4" customWidth="1"/>
    <col min="8480" max="8480" width="17.28515625" style="4" customWidth="1"/>
    <col min="8481" max="8481" width="0" style="4" hidden="1" customWidth="1"/>
    <col min="8482" max="8482" width="19" style="4" customWidth="1"/>
    <col min="8483" max="8485" width="26" style="4" customWidth="1"/>
    <col min="8486" max="8486" width="35.42578125" style="4" customWidth="1"/>
    <col min="8487" max="8487" width="27.5703125" style="4" customWidth="1"/>
    <col min="8488" max="8488" width="9.140625" style="4" customWidth="1"/>
    <col min="8489" max="8489" width="26.7109375" style="4" customWidth="1"/>
    <col min="8490" max="8490" width="17.28515625" style="4" customWidth="1"/>
    <col min="8491" max="8656" width="9.140625" style="4" customWidth="1"/>
    <col min="8657" max="8658" width="3" style="4" customWidth="1"/>
    <col min="8659" max="8659" width="4.42578125" style="4" bestFit="1" customWidth="1"/>
    <col min="8660" max="8660" width="59.140625" style="4" customWidth="1"/>
    <col min="8661" max="8661" width="0" style="4" hidden="1" customWidth="1"/>
    <col min="8662" max="8662" width="12.7109375" style="4" customWidth="1"/>
    <col min="8663" max="8663" width="8.28515625" style="4" customWidth="1"/>
    <col min="8664" max="8664" width="14.42578125" style="4" customWidth="1"/>
    <col min="8665" max="8665" width="7.28515625" style="4" customWidth="1"/>
    <col min="8666" max="8666" width="9.5703125" style="4" customWidth="1"/>
    <col min="8667" max="8667" width="17" style="4" customWidth="1"/>
    <col min="8668" max="8668" width="0" style="4" hidden="1" customWidth="1"/>
    <col min="8669" max="8669" width="15.140625" style="4" customWidth="1"/>
    <col min="8670" max="8670" width="13.85546875" style="4" customWidth="1"/>
    <col min="8671" max="8671" width="4.42578125" style="4" customWidth="1"/>
    <col min="8672" max="8672" width="12.28515625" style="4" customWidth="1"/>
    <col min="8673" max="8673" width="6" style="4" customWidth="1"/>
    <col min="8674" max="8674" width="19.85546875" style="4" customWidth="1"/>
    <col min="8675" max="8675" width="5.140625" style="4" customWidth="1"/>
    <col min="8676" max="8676" width="17.28515625" style="4" bestFit="1" customWidth="1"/>
    <col min="8677" max="8678" width="0" style="4" hidden="1" customWidth="1"/>
    <col min="8679" max="8679" width="5.85546875" style="4" customWidth="1"/>
    <col min="8680" max="8680" width="10.28515625" style="4" customWidth="1"/>
    <col min="8681" max="8681" width="15.42578125" style="4" customWidth="1"/>
    <col min="8682" max="8682" width="11.85546875" style="4" customWidth="1"/>
    <col min="8683" max="8683" width="16.42578125" style="4" customWidth="1"/>
    <col min="8684" max="8684" width="17.28515625" style="4" customWidth="1"/>
    <col min="8685" max="8685" width="19" style="4" bestFit="1" customWidth="1"/>
    <col min="8686" max="8686" width="20" style="4" customWidth="1"/>
    <col min="8687" max="8687" width="18.7109375" style="4" bestFit="1" customWidth="1"/>
    <col min="8688" max="8688" width="17.85546875" style="4" bestFit="1" customWidth="1"/>
    <col min="8689" max="8689" width="16.42578125" style="4" bestFit="1" customWidth="1"/>
    <col min="8690" max="8704" width="9.140625" style="4"/>
    <col min="8705" max="8705" width="6.85546875" style="4" customWidth="1"/>
    <col min="8706" max="8706" width="54.85546875" style="4" customWidth="1"/>
    <col min="8707" max="8707" width="0" style="4" hidden="1" customWidth="1"/>
    <col min="8708" max="8708" width="12.7109375" style="4" customWidth="1"/>
    <col min="8709" max="8709" width="13.85546875" style="4" customWidth="1"/>
    <col min="8710" max="8710" width="19.42578125" style="4" customWidth="1"/>
    <col min="8711" max="8711" width="9.28515625" style="4" customWidth="1"/>
    <col min="8712" max="8712" width="11.85546875" style="4" customWidth="1"/>
    <col min="8713" max="8713" width="16.42578125" style="4" customWidth="1"/>
    <col min="8714" max="8714" width="0" style="4" hidden="1" customWidth="1"/>
    <col min="8715" max="8715" width="16.5703125" style="4" customWidth="1"/>
    <col min="8716" max="8717" width="0" style="4" hidden="1" customWidth="1"/>
    <col min="8718" max="8719" width="16.5703125" style="4" customWidth="1"/>
    <col min="8720" max="8720" width="5.140625" style="4" customWidth="1"/>
    <col min="8721" max="8721" width="16.5703125" style="4" customWidth="1"/>
    <col min="8722" max="8722" width="5.140625" style="4" customWidth="1"/>
    <col min="8723" max="8723" width="16.5703125" style="4" customWidth="1"/>
    <col min="8724" max="8724" width="5.140625" style="4" customWidth="1"/>
    <col min="8725" max="8725" width="16.5703125" style="4" customWidth="1"/>
    <col min="8726" max="8726" width="5.140625" style="4" customWidth="1"/>
    <col min="8727" max="8727" width="15.28515625" style="4" customWidth="1"/>
    <col min="8728" max="8728" width="4.7109375" style="4" customWidth="1"/>
    <col min="8729" max="8729" width="0" style="4" hidden="1" customWidth="1"/>
    <col min="8730" max="8730" width="6.5703125" style="4" customWidth="1"/>
    <col min="8731" max="8731" width="10.5703125" style="4" customWidth="1"/>
    <col min="8732" max="8732" width="17.42578125" style="4" customWidth="1"/>
    <col min="8733" max="8733" width="7.7109375" style="4" customWidth="1"/>
    <col min="8734" max="8734" width="15.42578125" style="4" customWidth="1"/>
    <col min="8735" max="8735" width="16.42578125" style="4" customWidth="1"/>
    <col min="8736" max="8736" width="17.28515625" style="4" customWidth="1"/>
    <col min="8737" max="8737" width="0" style="4" hidden="1" customWidth="1"/>
    <col min="8738" max="8738" width="19" style="4" customWidth="1"/>
    <col min="8739" max="8741" width="26" style="4" customWidth="1"/>
    <col min="8742" max="8742" width="35.42578125" style="4" customWidth="1"/>
    <col min="8743" max="8743" width="27.5703125" style="4" customWidth="1"/>
    <col min="8744" max="8744" width="9.140625" style="4" customWidth="1"/>
    <col min="8745" max="8745" width="26.7109375" style="4" customWidth="1"/>
    <col min="8746" max="8746" width="17.28515625" style="4" customWidth="1"/>
    <col min="8747" max="8912" width="9.140625" style="4" customWidth="1"/>
    <col min="8913" max="8914" width="3" style="4" customWidth="1"/>
    <col min="8915" max="8915" width="4.42578125" style="4" bestFit="1" customWidth="1"/>
    <col min="8916" max="8916" width="59.140625" style="4" customWidth="1"/>
    <col min="8917" max="8917" width="0" style="4" hidden="1" customWidth="1"/>
    <col min="8918" max="8918" width="12.7109375" style="4" customWidth="1"/>
    <col min="8919" max="8919" width="8.28515625" style="4" customWidth="1"/>
    <col min="8920" max="8920" width="14.42578125" style="4" customWidth="1"/>
    <col min="8921" max="8921" width="7.28515625" style="4" customWidth="1"/>
    <col min="8922" max="8922" width="9.5703125" style="4" customWidth="1"/>
    <col min="8923" max="8923" width="17" style="4" customWidth="1"/>
    <col min="8924" max="8924" width="0" style="4" hidden="1" customWidth="1"/>
    <col min="8925" max="8925" width="15.140625" style="4" customWidth="1"/>
    <col min="8926" max="8926" width="13.85546875" style="4" customWidth="1"/>
    <col min="8927" max="8927" width="4.42578125" style="4" customWidth="1"/>
    <col min="8928" max="8928" width="12.28515625" style="4" customWidth="1"/>
    <col min="8929" max="8929" width="6" style="4" customWidth="1"/>
    <col min="8930" max="8930" width="19.85546875" style="4" customWidth="1"/>
    <col min="8931" max="8931" width="5.140625" style="4" customWidth="1"/>
    <col min="8932" max="8932" width="17.28515625" style="4" bestFit="1" customWidth="1"/>
    <col min="8933" max="8934" width="0" style="4" hidden="1" customWidth="1"/>
    <col min="8935" max="8935" width="5.85546875" style="4" customWidth="1"/>
    <col min="8936" max="8936" width="10.28515625" style="4" customWidth="1"/>
    <col min="8937" max="8937" width="15.42578125" style="4" customWidth="1"/>
    <col min="8938" max="8938" width="11.85546875" style="4" customWidth="1"/>
    <col min="8939" max="8939" width="16.42578125" style="4" customWidth="1"/>
    <col min="8940" max="8940" width="17.28515625" style="4" customWidth="1"/>
    <col min="8941" max="8941" width="19" style="4" bestFit="1" customWidth="1"/>
    <col min="8942" max="8942" width="20" style="4" customWidth="1"/>
    <col min="8943" max="8943" width="18.7109375" style="4" bestFit="1" customWidth="1"/>
    <col min="8944" max="8944" width="17.85546875" style="4" bestFit="1" customWidth="1"/>
    <col min="8945" max="8945" width="16.42578125" style="4" bestFit="1" customWidth="1"/>
    <col min="8946" max="8960" width="9.140625" style="4"/>
    <col min="8961" max="8961" width="6.85546875" style="4" customWidth="1"/>
    <col min="8962" max="8962" width="54.85546875" style="4" customWidth="1"/>
    <col min="8963" max="8963" width="0" style="4" hidden="1" customWidth="1"/>
    <col min="8964" max="8964" width="12.7109375" style="4" customWidth="1"/>
    <col min="8965" max="8965" width="13.85546875" style="4" customWidth="1"/>
    <col min="8966" max="8966" width="19.42578125" style="4" customWidth="1"/>
    <col min="8967" max="8967" width="9.28515625" style="4" customWidth="1"/>
    <col min="8968" max="8968" width="11.85546875" style="4" customWidth="1"/>
    <col min="8969" max="8969" width="16.42578125" style="4" customWidth="1"/>
    <col min="8970" max="8970" width="0" style="4" hidden="1" customWidth="1"/>
    <col min="8971" max="8971" width="16.5703125" style="4" customWidth="1"/>
    <col min="8972" max="8973" width="0" style="4" hidden="1" customWidth="1"/>
    <col min="8974" max="8975" width="16.5703125" style="4" customWidth="1"/>
    <col min="8976" max="8976" width="5.140625" style="4" customWidth="1"/>
    <col min="8977" max="8977" width="16.5703125" style="4" customWidth="1"/>
    <col min="8978" max="8978" width="5.140625" style="4" customWidth="1"/>
    <col min="8979" max="8979" width="16.5703125" style="4" customWidth="1"/>
    <col min="8980" max="8980" width="5.140625" style="4" customWidth="1"/>
    <col min="8981" max="8981" width="16.5703125" style="4" customWidth="1"/>
    <col min="8982" max="8982" width="5.140625" style="4" customWidth="1"/>
    <col min="8983" max="8983" width="15.28515625" style="4" customWidth="1"/>
    <col min="8984" max="8984" width="4.7109375" style="4" customWidth="1"/>
    <col min="8985" max="8985" width="0" style="4" hidden="1" customWidth="1"/>
    <col min="8986" max="8986" width="6.5703125" style="4" customWidth="1"/>
    <col min="8987" max="8987" width="10.5703125" style="4" customWidth="1"/>
    <col min="8988" max="8988" width="17.42578125" style="4" customWidth="1"/>
    <col min="8989" max="8989" width="7.7109375" style="4" customWidth="1"/>
    <col min="8990" max="8990" width="15.42578125" style="4" customWidth="1"/>
    <col min="8991" max="8991" width="16.42578125" style="4" customWidth="1"/>
    <col min="8992" max="8992" width="17.28515625" style="4" customWidth="1"/>
    <col min="8993" max="8993" width="0" style="4" hidden="1" customWidth="1"/>
    <col min="8994" max="8994" width="19" style="4" customWidth="1"/>
    <col min="8995" max="8997" width="26" style="4" customWidth="1"/>
    <col min="8998" max="8998" width="35.42578125" style="4" customWidth="1"/>
    <col min="8999" max="8999" width="27.5703125" style="4" customWidth="1"/>
    <col min="9000" max="9000" width="9.140625" style="4" customWidth="1"/>
    <col min="9001" max="9001" width="26.7109375" style="4" customWidth="1"/>
    <col min="9002" max="9002" width="17.28515625" style="4" customWidth="1"/>
    <col min="9003" max="9168" width="9.140625" style="4" customWidth="1"/>
    <col min="9169" max="9170" width="3" style="4" customWidth="1"/>
    <col min="9171" max="9171" width="4.42578125" style="4" bestFit="1" customWidth="1"/>
    <col min="9172" max="9172" width="59.140625" style="4" customWidth="1"/>
    <col min="9173" max="9173" width="0" style="4" hidden="1" customWidth="1"/>
    <col min="9174" max="9174" width="12.7109375" style="4" customWidth="1"/>
    <col min="9175" max="9175" width="8.28515625" style="4" customWidth="1"/>
    <col min="9176" max="9176" width="14.42578125" style="4" customWidth="1"/>
    <col min="9177" max="9177" width="7.28515625" style="4" customWidth="1"/>
    <col min="9178" max="9178" width="9.5703125" style="4" customWidth="1"/>
    <col min="9179" max="9179" width="17" style="4" customWidth="1"/>
    <col min="9180" max="9180" width="0" style="4" hidden="1" customWidth="1"/>
    <col min="9181" max="9181" width="15.140625" style="4" customWidth="1"/>
    <col min="9182" max="9182" width="13.85546875" style="4" customWidth="1"/>
    <col min="9183" max="9183" width="4.42578125" style="4" customWidth="1"/>
    <col min="9184" max="9184" width="12.28515625" style="4" customWidth="1"/>
    <col min="9185" max="9185" width="6" style="4" customWidth="1"/>
    <col min="9186" max="9186" width="19.85546875" style="4" customWidth="1"/>
    <col min="9187" max="9187" width="5.140625" style="4" customWidth="1"/>
    <col min="9188" max="9188" width="17.28515625" style="4" bestFit="1" customWidth="1"/>
    <col min="9189" max="9190" width="0" style="4" hidden="1" customWidth="1"/>
    <col min="9191" max="9191" width="5.85546875" style="4" customWidth="1"/>
    <col min="9192" max="9192" width="10.28515625" style="4" customWidth="1"/>
    <col min="9193" max="9193" width="15.42578125" style="4" customWidth="1"/>
    <col min="9194" max="9194" width="11.85546875" style="4" customWidth="1"/>
    <col min="9195" max="9195" width="16.42578125" style="4" customWidth="1"/>
    <col min="9196" max="9196" width="17.28515625" style="4" customWidth="1"/>
    <col min="9197" max="9197" width="19" style="4" bestFit="1" customWidth="1"/>
    <col min="9198" max="9198" width="20" style="4" customWidth="1"/>
    <col min="9199" max="9199" width="18.7109375" style="4" bestFit="1" customWidth="1"/>
    <col min="9200" max="9200" width="17.85546875" style="4" bestFit="1" customWidth="1"/>
    <col min="9201" max="9201" width="16.42578125" style="4" bestFit="1" customWidth="1"/>
    <col min="9202" max="9216" width="9.140625" style="4"/>
    <col min="9217" max="9217" width="6.85546875" style="4" customWidth="1"/>
    <col min="9218" max="9218" width="54.85546875" style="4" customWidth="1"/>
    <col min="9219" max="9219" width="0" style="4" hidden="1" customWidth="1"/>
    <col min="9220" max="9220" width="12.7109375" style="4" customWidth="1"/>
    <col min="9221" max="9221" width="13.85546875" style="4" customWidth="1"/>
    <col min="9222" max="9222" width="19.42578125" style="4" customWidth="1"/>
    <col min="9223" max="9223" width="9.28515625" style="4" customWidth="1"/>
    <col min="9224" max="9224" width="11.85546875" style="4" customWidth="1"/>
    <col min="9225" max="9225" width="16.42578125" style="4" customWidth="1"/>
    <col min="9226" max="9226" width="0" style="4" hidden="1" customWidth="1"/>
    <col min="9227" max="9227" width="16.5703125" style="4" customWidth="1"/>
    <col min="9228" max="9229" width="0" style="4" hidden="1" customWidth="1"/>
    <col min="9230" max="9231" width="16.5703125" style="4" customWidth="1"/>
    <col min="9232" max="9232" width="5.140625" style="4" customWidth="1"/>
    <col min="9233" max="9233" width="16.5703125" style="4" customWidth="1"/>
    <col min="9234" max="9234" width="5.140625" style="4" customWidth="1"/>
    <col min="9235" max="9235" width="16.5703125" style="4" customWidth="1"/>
    <col min="9236" max="9236" width="5.140625" style="4" customWidth="1"/>
    <col min="9237" max="9237" width="16.5703125" style="4" customWidth="1"/>
    <col min="9238" max="9238" width="5.140625" style="4" customWidth="1"/>
    <col min="9239" max="9239" width="15.28515625" style="4" customWidth="1"/>
    <col min="9240" max="9240" width="4.7109375" style="4" customWidth="1"/>
    <col min="9241" max="9241" width="0" style="4" hidden="1" customWidth="1"/>
    <col min="9242" max="9242" width="6.5703125" style="4" customWidth="1"/>
    <col min="9243" max="9243" width="10.5703125" style="4" customWidth="1"/>
    <col min="9244" max="9244" width="17.42578125" style="4" customWidth="1"/>
    <col min="9245" max="9245" width="7.7109375" style="4" customWidth="1"/>
    <col min="9246" max="9246" width="15.42578125" style="4" customWidth="1"/>
    <col min="9247" max="9247" width="16.42578125" style="4" customWidth="1"/>
    <col min="9248" max="9248" width="17.28515625" style="4" customWidth="1"/>
    <col min="9249" max="9249" width="0" style="4" hidden="1" customWidth="1"/>
    <col min="9250" max="9250" width="19" style="4" customWidth="1"/>
    <col min="9251" max="9253" width="26" style="4" customWidth="1"/>
    <col min="9254" max="9254" width="35.42578125" style="4" customWidth="1"/>
    <col min="9255" max="9255" width="27.5703125" style="4" customWidth="1"/>
    <col min="9256" max="9256" width="9.140625" style="4" customWidth="1"/>
    <col min="9257" max="9257" width="26.7109375" style="4" customWidth="1"/>
    <col min="9258" max="9258" width="17.28515625" style="4" customWidth="1"/>
    <col min="9259" max="9424" width="9.140625" style="4" customWidth="1"/>
    <col min="9425" max="9426" width="3" style="4" customWidth="1"/>
    <col min="9427" max="9427" width="4.42578125" style="4" bestFit="1" customWidth="1"/>
    <col min="9428" max="9428" width="59.140625" style="4" customWidth="1"/>
    <col min="9429" max="9429" width="0" style="4" hidden="1" customWidth="1"/>
    <col min="9430" max="9430" width="12.7109375" style="4" customWidth="1"/>
    <col min="9431" max="9431" width="8.28515625" style="4" customWidth="1"/>
    <col min="9432" max="9432" width="14.42578125" style="4" customWidth="1"/>
    <col min="9433" max="9433" width="7.28515625" style="4" customWidth="1"/>
    <col min="9434" max="9434" width="9.5703125" style="4" customWidth="1"/>
    <col min="9435" max="9435" width="17" style="4" customWidth="1"/>
    <col min="9436" max="9436" width="0" style="4" hidden="1" customWidth="1"/>
    <col min="9437" max="9437" width="15.140625" style="4" customWidth="1"/>
    <col min="9438" max="9438" width="13.85546875" style="4" customWidth="1"/>
    <col min="9439" max="9439" width="4.42578125" style="4" customWidth="1"/>
    <col min="9440" max="9440" width="12.28515625" style="4" customWidth="1"/>
    <col min="9441" max="9441" width="6" style="4" customWidth="1"/>
    <col min="9442" max="9442" width="19.85546875" style="4" customWidth="1"/>
    <col min="9443" max="9443" width="5.140625" style="4" customWidth="1"/>
    <col min="9444" max="9444" width="17.28515625" style="4" bestFit="1" customWidth="1"/>
    <col min="9445" max="9446" width="0" style="4" hidden="1" customWidth="1"/>
    <col min="9447" max="9447" width="5.85546875" style="4" customWidth="1"/>
    <col min="9448" max="9448" width="10.28515625" style="4" customWidth="1"/>
    <col min="9449" max="9449" width="15.42578125" style="4" customWidth="1"/>
    <col min="9450" max="9450" width="11.85546875" style="4" customWidth="1"/>
    <col min="9451" max="9451" width="16.42578125" style="4" customWidth="1"/>
    <col min="9452" max="9452" width="17.28515625" style="4" customWidth="1"/>
    <col min="9453" max="9453" width="19" style="4" bestFit="1" customWidth="1"/>
    <col min="9454" max="9454" width="20" style="4" customWidth="1"/>
    <col min="9455" max="9455" width="18.7109375" style="4" bestFit="1" customWidth="1"/>
    <col min="9456" max="9456" width="17.85546875" style="4" bestFit="1" customWidth="1"/>
    <col min="9457" max="9457" width="16.42578125" style="4" bestFit="1" customWidth="1"/>
    <col min="9458" max="9472" width="9.140625" style="4"/>
    <col min="9473" max="9473" width="6.85546875" style="4" customWidth="1"/>
    <col min="9474" max="9474" width="54.85546875" style="4" customWidth="1"/>
    <col min="9475" max="9475" width="0" style="4" hidden="1" customWidth="1"/>
    <col min="9476" max="9476" width="12.7109375" style="4" customWidth="1"/>
    <col min="9477" max="9477" width="13.85546875" style="4" customWidth="1"/>
    <col min="9478" max="9478" width="19.42578125" style="4" customWidth="1"/>
    <col min="9479" max="9479" width="9.28515625" style="4" customWidth="1"/>
    <col min="9480" max="9480" width="11.85546875" style="4" customWidth="1"/>
    <col min="9481" max="9481" width="16.42578125" style="4" customWidth="1"/>
    <col min="9482" max="9482" width="0" style="4" hidden="1" customWidth="1"/>
    <col min="9483" max="9483" width="16.5703125" style="4" customWidth="1"/>
    <col min="9484" max="9485" width="0" style="4" hidden="1" customWidth="1"/>
    <col min="9486" max="9487" width="16.5703125" style="4" customWidth="1"/>
    <col min="9488" max="9488" width="5.140625" style="4" customWidth="1"/>
    <col min="9489" max="9489" width="16.5703125" style="4" customWidth="1"/>
    <col min="9490" max="9490" width="5.140625" style="4" customWidth="1"/>
    <col min="9491" max="9491" width="16.5703125" style="4" customWidth="1"/>
    <col min="9492" max="9492" width="5.140625" style="4" customWidth="1"/>
    <col min="9493" max="9493" width="16.5703125" style="4" customWidth="1"/>
    <col min="9494" max="9494" width="5.140625" style="4" customWidth="1"/>
    <col min="9495" max="9495" width="15.28515625" style="4" customWidth="1"/>
    <col min="9496" max="9496" width="4.7109375" style="4" customWidth="1"/>
    <col min="9497" max="9497" width="0" style="4" hidden="1" customWidth="1"/>
    <col min="9498" max="9498" width="6.5703125" style="4" customWidth="1"/>
    <col min="9499" max="9499" width="10.5703125" style="4" customWidth="1"/>
    <col min="9500" max="9500" width="17.42578125" style="4" customWidth="1"/>
    <col min="9501" max="9501" width="7.7109375" style="4" customWidth="1"/>
    <col min="9502" max="9502" width="15.42578125" style="4" customWidth="1"/>
    <col min="9503" max="9503" width="16.42578125" style="4" customWidth="1"/>
    <col min="9504" max="9504" width="17.28515625" style="4" customWidth="1"/>
    <col min="9505" max="9505" width="0" style="4" hidden="1" customWidth="1"/>
    <col min="9506" max="9506" width="19" style="4" customWidth="1"/>
    <col min="9507" max="9509" width="26" style="4" customWidth="1"/>
    <col min="9510" max="9510" width="35.42578125" style="4" customWidth="1"/>
    <col min="9511" max="9511" width="27.5703125" style="4" customWidth="1"/>
    <col min="9512" max="9512" width="9.140625" style="4" customWidth="1"/>
    <col min="9513" max="9513" width="26.7109375" style="4" customWidth="1"/>
    <col min="9514" max="9514" width="17.28515625" style="4" customWidth="1"/>
    <col min="9515" max="9680" width="9.140625" style="4" customWidth="1"/>
    <col min="9681" max="9682" width="3" style="4" customWidth="1"/>
    <col min="9683" max="9683" width="4.42578125" style="4" bestFit="1" customWidth="1"/>
    <col min="9684" max="9684" width="59.140625" style="4" customWidth="1"/>
    <col min="9685" max="9685" width="0" style="4" hidden="1" customWidth="1"/>
    <col min="9686" max="9686" width="12.7109375" style="4" customWidth="1"/>
    <col min="9687" max="9687" width="8.28515625" style="4" customWidth="1"/>
    <col min="9688" max="9688" width="14.42578125" style="4" customWidth="1"/>
    <col min="9689" max="9689" width="7.28515625" style="4" customWidth="1"/>
    <col min="9690" max="9690" width="9.5703125" style="4" customWidth="1"/>
    <col min="9691" max="9691" width="17" style="4" customWidth="1"/>
    <col min="9692" max="9692" width="0" style="4" hidden="1" customWidth="1"/>
    <col min="9693" max="9693" width="15.140625" style="4" customWidth="1"/>
    <col min="9694" max="9694" width="13.85546875" style="4" customWidth="1"/>
    <col min="9695" max="9695" width="4.42578125" style="4" customWidth="1"/>
    <col min="9696" max="9696" width="12.28515625" style="4" customWidth="1"/>
    <col min="9697" max="9697" width="6" style="4" customWidth="1"/>
    <col min="9698" max="9698" width="19.85546875" style="4" customWidth="1"/>
    <col min="9699" max="9699" width="5.140625" style="4" customWidth="1"/>
    <col min="9700" max="9700" width="17.28515625" style="4" bestFit="1" customWidth="1"/>
    <col min="9701" max="9702" width="0" style="4" hidden="1" customWidth="1"/>
    <col min="9703" max="9703" width="5.85546875" style="4" customWidth="1"/>
    <col min="9704" max="9704" width="10.28515625" style="4" customWidth="1"/>
    <col min="9705" max="9705" width="15.42578125" style="4" customWidth="1"/>
    <col min="9706" max="9706" width="11.85546875" style="4" customWidth="1"/>
    <col min="9707" max="9707" width="16.42578125" style="4" customWidth="1"/>
    <col min="9708" max="9708" width="17.28515625" style="4" customWidth="1"/>
    <col min="9709" max="9709" width="19" style="4" bestFit="1" customWidth="1"/>
    <col min="9710" max="9710" width="20" style="4" customWidth="1"/>
    <col min="9711" max="9711" width="18.7109375" style="4" bestFit="1" customWidth="1"/>
    <col min="9712" max="9712" width="17.85546875" style="4" bestFit="1" customWidth="1"/>
    <col min="9713" max="9713" width="16.42578125" style="4" bestFit="1" customWidth="1"/>
    <col min="9714" max="9728" width="9.140625" style="4"/>
    <col min="9729" max="9729" width="6.85546875" style="4" customWidth="1"/>
    <col min="9730" max="9730" width="54.85546875" style="4" customWidth="1"/>
    <col min="9731" max="9731" width="0" style="4" hidden="1" customWidth="1"/>
    <col min="9732" max="9732" width="12.7109375" style="4" customWidth="1"/>
    <col min="9733" max="9733" width="13.85546875" style="4" customWidth="1"/>
    <col min="9734" max="9734" width="19.42578125" style="4" customWidth="1"/>
    <col min="9735" max="9735" width="9.28515625" style="4" customWidth="1"/>
    <col min="9736" max="9736" width="11.85546875" style="4" customWidth="1"/>
    <col min="9737" max="9737" width="16.42578125" style="4" customWidth="1"/>
    <col min="9738" max="9738" width="0" style="4" hidden="1" customWidth="1"/>
    <col min="9739" max="9739" width="16.5703125" style="4" customWidth="1"/>
    <col min="9740" max="9741" width="0" style="4" hidden="1" customWidth="1"/>
    <col min="9742" max="9743" width="16.5703125" style="4" customWidth="1"/>
    <col min="9744" max="9744" width="5.140625" style="4" customWidth="1"/>
    <col min="9745" max="9745" width="16.5703125" style="4" customWidth="1"/>
    <col min="9746" max="9746" width="5.140625" style="4" customWidth="1"/>
    <col min="9747" max="9747" width="16.5703125" style="4" customWidth="1"/>
    <col min="9748" max="9748" width="5.140625" style="4" customWidth="1"/>
    <col min="9749" max="9749" width="16.5703125" style="4" customWidth="1"/>
    <col min="9750" max="9750" width="5.140625" style="4" customWidth="1"/>
    <col min="9751" max="9751" width="15.28515625" style="4" customWidth="1"/>
    <col min="9752" max="9752" width="4.7109375" style="4" customWidth="1"/>
    <col min="9753" max="9753" width="0" style="4" hidden="1" customWidth="1"/>
    <col min="9754" max="9754" width="6.5703125" style="4" customWidth="1"/>
    <col min="9755" max="9755" width="10.5703125" style="4" customWidth="1"/>
    <col min="9756" max="9756" width="17.42578125" style="4" customWidth="1"/>
    <col min="9757" max="9757" width="7.7109375" style="4" customWidth="1"/>
    <col min="9758" max="9758" width="15.42578125" style="4" customWidth="1"/>
    <col min="9759" max="9759" width="16.42578125" style="4" customWidth="1"/>
    <col min="9760" max="9760" width="17.28515625" style="4" customWidth="1"/>
    <col min="9761" max="9761" width="0" style="4" hidden="1" customWidth="1"/>
    <col min="9762" max="9762" width="19" style="4" customWidth="1"/>
    <col min="9763" max="9765" width="26" style="4" customWidth="1"/>
    <col min="9766" max="9766" width="35.42578125" style="4" customWidth="1"/>
    <col min="9767" max="9767" width="27.5703125" style="4" customWidth="1"/>
    <col min="9768" max="9768" width="9.140625" style="4" customWidth="1"/>
    <col min="9769" max="9769" width="26.7109375" style="4" customWidth="1"/>
    <col min="9770" max="9770" width="17.28515625" style="4" customWidth="1"/>
    <col min="9771" max="9936" width="9.140625" style="4" customWidth="1"/>
    <col min="9937" max="9938" width="3" style="4" customWidth="1"/>
    <col min="9939" max="9939" width="4.42578125" style="4" bestFit="1" customWidth="1"/>
    <col min="9940" max="9940" width="59.140625" style="4" customWidth="1"/>
    <col min="9941" max="9941" width="0" style="4" hidden="1" customWidth="1"/>
    <col min="9942" max="9942" width="12.7109375" style="4" customWidth="1"/>
    <col min="9943" max="9943" width="8.28515625" style="4" customWidth="1"/>
    <col min="9944" max="9944" width="14.42578125" style="4" customWidth="1"/>
    <col min="9945" max="9945" width="7.28515625" style="4" customWidth="1"/>
    <col min="9946" max="9946" width="9.5703125" style="4" customWidth="1"/>
    <col min="9947" max="9947" width="17" style="4" customWidth="1"/>
    <col min="9948" max="9948" width="0" style="4" hidden="1" customWidth="1"/>
    <col min="9949" max="9949" width="15.140625" style="4" customWidth="1"/>
    <col min="9950" max="9950" width="13.85546875" style="4" customWidth="1"/>
    <col min="9951" max="9951" width="4.42578125" style="4" customWidth="1"/>
    <col min="9952" max="9952" width="12.28515625" style="4" customWidth="1"/>
    <col min="9953" max="9953" width="6" style="4" customWidth="1"/>
    <col min="9954" max="9954" width="19.85546875" style="4" customWidth="1"/>
    <col min="9955" max="9955" width="5.140625" style="4" customWidth="1"/>
    <col min="9956" max="9956" width="17.28515625" style="4" bestFit="1" customWidth="1"/>
    <col min="9957" max="9958" width="0" style="4" hidden="1" customWidth="1"/>
    <col min="9959" max="9959" width="5.85546875" style="4" customWidth="1"/>
    <col min="9960" max="9960" width="10.28515625" style="4" customWidth="1"/>
    <col min="9961" max="9961" width="15.42578125" style="4" customWidth="1"/>
    <col min="9962" max="9962" width="11.85546875" style="4" customWidth="1"/>
    <col min="9963" max="9963" width="16.42578125" style="4" customWidth="1"/>
    <col min="9964" max="9964" width="17.28515625" style="4" customWidth="1"/>
    <col min="9965" max="9965" width="19" style="4" bestFit="1" customWidth="1"/>
    <col min="9966" max="9966" width="20" style="4" customWidth="1"/>
    <col min="9967" max="9967" width="18.7109375" style="4" bestFit="1" customWidth="1"/>
    <col min="9968" max="9968" width="17.85546875" style="4" bestFit="1" customWidth="1"/>
    <col min="9969" max="9969" width="16.42578125" style="4" bestFit="1" customWidth="1"/>
    <col min="9970" max="9984" width="9.140625" style="4"/>
    <col min="9985" max="9985" width="6.85546875" style="4" customWidth="1"/>
    <col min="9986" max="9986" width="54.85546875" style="4" customWidth="1"/>
    <col min="9987" max="9987" width="0" style="4" hidden="1" customWidth="1"/>
    <col min="9988" max="9988" width="12.7109375" style="4" customWidth="1"/>
    <col min="9989" max="9989" width="13.85546875" style="4" customWidth="1"/>
    <col min="9990" max="9990" width="19.42578125" style="4" customWidth="1"/>
    <col min="9991" max="9991" width="9.28515625" style="4" customWidth="1"/>
    <col min="9992" max="9992" width="11.85546875" style="4" customWidth="1"/>
    <col min="9993" max="9993" width="16.42578125" style="4" customWidth="1"/>
    <col min="9994" max="9994" width="0" style="4" hidden="1" customWidth="1"/>
    <col min="9995" max="9995" width="16.5703125" style="4" customWidth="1"/>
    <col min="9996" max="9997" width="0" style="4" hidden="1" customWidth="1"/>
    <col min="9998" max="9999" width="16.5703125" style="4" customWidth="1"/>
    <col min="10000" max="10000" width="5.140625" style="4" customWidth="1"/>
    <col min="10001" max="10001" width="16.5703125" style="4" customWidth="1"/>
    <col min="10002" max="10002" width="5.140625" style="4" customWidth="1"/>
    <col min="10003" max="10003" width="16.5703125" style="4" customWidth="1"/>
    <col min="10004" max="10004" width="5.140625" style="4" customWidth="1"/>
    <col min="10005" max="10005" width="16.5703125" style="4" customWidth="1"/>
    <col min="10006" max="10006" width="5.140625" style="4" customWidth="1"/>
    <col min="10007" max="10007" width="15.28515625" style="4" customWidth="1"/>
    <col min="10008" max="10008" width="4.7109375" style="4" customWidth="1"/>
    <col min="10009" max="10009" width="0" style="4" hidden="1" customWidth="1"/>
    <col min="10010" max="10010" width="6.5703125" style="4" customWidth="1"/>
    <col min="10011" max="10011" width="10.5703125" style="4" customWidth="1"/>
    <col min="10012" max="10012" width="17.42578125" style="4" customWidth="1"/>
    <col min="10013" max="10013" width="7.7109375" style="4" customWidth="1"/>
    <col min="10014" max="10014" width="15.42578125" style="4" customWidth="1"/>
    <col min="10015" max="10015" width="16.42578125" style="4" customWidth="1"/>
    <col min="10016" max="10016" width="17.28515625" style="4" customWidth="1"/>
    <col min="10017" max="10017" width="0" style="4" hidden="1" customWidth="1"/>
    <col min="10018" max="10018" width="19" style="4" customWidth="1"/>
    <col min="10019" max="10021" width="26" style="4" customWidth="1"/>
    <col min="10022" max="10022" width="35.42578125" style="4" customWidth="1"/>
    <col min="10023" max="10023" width="27.5703125" style="4" customWidth="1"/>
    <col min="10024" max="10024" width="9.140625" style="4" customWidth="1"/>
    <col min="10025" max="10025" width="26.7109375" style="4" customWidth="1"/>
    <col min="10026" max="10026" width="17.28515625" style="4" customWidth="1"/>
    <col min="10027" max="10192" width="9.140625" style="4" customWidth="1"/>
    <col min="10193" max="10194" width="3" style="4" customWidth="1"/>
    <col min="10195" max="10195" width="4.42578125" style="4" bestFit="1" customWidth="1"/>
    <col min="10196" max="10196" width="59.140625" style="4" customWidth="1"/>
    <col min="10197" max="10197" width="0" style="4" hidden="1" customWidth="1"/>
    <col min="10198" max="10198" width="12.7109375" style="4" customWidth="1"/>
    <col min="10199" max="10199" width="8.28515625" style="4" customWidth="1"/>
    <col min="10200" max="10200" width="14.42578125" style="4" customWidth="1"/>
    <col min="10201" max="10201" width="7.28515625" style="4" customWidth="1"/>
    <col min="10202" max="10202" width="9.5703125" style="4" customWidth="1"/>
    <col min="10203" max="10203" width="17" style="4" customWidth="1"/>
    <col min="10204" max="10204" width="0" style="4" hidden="1" customWidth="1"/>
    <col min="10205" max="10205" width="15.140625" style="4" customWidth="1"/>
    <col min="10206" max="10206" width="13.85546875" style="4" customWidth="1"/>
    <col min="10207" max="10207" width="4.42578125" style="4" customWidth="1"/>
    <col min="10208" max="10208" width="12.28515625" style="4" customWidth="1"/>
    <col min="10209" max="10209" width="6" style="4" customWidth="1"/>
    <col min="10210" max="10210" width="19.85546875" style="4" customWidth="1"/>
    <col min="10211" max="10211" width="5.140625" style="4" customWidth="1"/>
    <col min="10212" max="10212" width="17.28515625" style="4" bestFit="1" customWidth="1"/>
    <col min="10213" max="10214" width="0" style="4" hidden="1" customWidth="1"/>
    <col min="10215" max="10215" width="5.85546875" style="4" customWidth="1"/>
    <col min="10216" max="10216" width="10.28515625" style="4" customWidth="1"/>
    <col min="10217" max="10217" width="15.42578125" style="4" customWidth="1"/>
    <col min="10218" max="10218" width="11.85546875" style="4" customWidth="1"/>
    <col min="10219" max="10219" width="16.42578125" style="4" customWidth="1"/>
    <col min="10220" max="10220" width="17.28515625" style="4" customWidth="1"/>
    <col min="10221" max="10221" width="19" style="4" bestFit="1" customWidth="1"/>
    <col min="10222" max="10222" width="20" style="4" customWidth="1"/>
    <col min="10223" max="10223" width="18.7109375" style="4" bestFit="1" customWidth="1"/>
    <col min="10224" max="10224" width="17.85546875" style="4" bestFit="1" customWidth="1"/>
    <col min="10225" max="10225" width="16.42578125" style="4" bestFit="1" customWidth="1"/>
    <col min="10226" max="10240" width="9.140625" style="4"/>
    <col min="10241" max="10241" width="6.85546875" style="4" customWidth="1"/>
    <col min="10242" max="10242" width="54.85546875" style="4" customWidth="1"/>
    <col min="10243" max="10243" width="0" style="4" hidden="1" customWidth="1"/>
    <col min="10244" max="10244" width="12.7109375" style="4" customWidth="1"/>
    <col min="10245" max="10245" width="13.85546875" style="4" customWidth="1"/>
    <col min="10246" max="10246" width="19.42578125" style="4" customWidth="1"/>
    <col min="10247" max="10247" width="9.28515625" style="4" customWidth="1"/>
    <col min="10248" max="10248" width="11.85546875" style="4" customWidth="1"/>
    <col min="10249" max="10249" width="16.42578125" style="4" customWidth="1"/>
    <col min="10250" max="10250" width="0" style="4" hidden="1" customWidth="1"/>
    <col min="10251" max="10251" width="16.5703125" style="4" customWidth="1"/>
    <col min="10252" max="10253" width="0" style="4" hidden="1" customWidth="1"/>
    <col min="10254" max="10255" width="16.5703125" style="4" customWidth="1"/>
    <col min="10256" max="10256" width="5.140625" style="4" customWidth="1"/>
    <col min="10257" max="10257" width="16.5703125" style="4" customWidth="1"/>
    <col min="10258" max="10258" width="5.140625" style="4" customWidth="1"/>
    <col min="10259" max="10259" width="16.5703125" style="4" customWidth="1"/>
    <col min="10260" max="10260" width="5.140625" style="4" customWidth="1"/>
    <col min="10261" max="10261" width="16.5703125" style="4" customWidth="1"/>
    <col min="10262" max="10262" width="5.140625" style="4" customWidth="1"/>
    <col min="10263" max="10263" width="15.28515625" style="4" customWidth="1"/>
    <col min="10264" max="10264" width="4.7109375" style="4" customWidth="1"/>
    <col min="10265" max="10265" width="0" style="4" hidden="1" customWidth="1"/>
    <col min="10266" max="10266" width="6.5703125" style="4" customWidth="1"/>
    <col min="10267" max="10267" width="10.5703125" style="4" customWidth="1"/>
    <col min="10268" max="10268" width="17.42578125" style="4" customWidth="1"/>
    <col min="10269" max="10269" width="7.7109375" style="4" customWidth="1"/>
    <col min="10270" max="10270" width="15.42578125" style="4" customWidth="1"/>
    <col min="10271" max="10271" width="16.42578125" style="4" customWidth="1"/>
    <col min="10272" max="10272" width="17.28515625" style="4" customWidth="1"/>
    <col min="10273" max="10273" width="0" style="4" hidden="1" customWidth="1"/>
    <col min="10274" max="10274" width="19" style="4" customWidth="1"/>
    <col min="10275" max="10277" width="26" style="4" customWidth="1"/>
    <col min="10278" max="10278" width="35.42578125" style="4" customWidth="1"/>
    <col min="10279" max="10279" width="27.5703125" style="4" customWidth="1"/>
    <col min="10280" max="10280" width="9.140625" style="4" customWidth="1"/>
    <col min="10281" max="10281" width="26.7109375" style="4" customWidth="1"/>
    <col min="10282" max="10282" width="17.28515625" style="4" customWidth="1"/>
    <col min="10283" max="10448" width="9.140625" style="4" customWidth="1"/>
    <col min="10449" max="10450" width="3" style="4" customWidth="1"/>
    <col min="10451" max="10451" width="4.42578125" style="4" bestFit="1" customWidth="1"/>
    <col min="10452" max="10452" width="59.140625" style="4" customWidth="1"/>
    <col min="10453" max="10453" width="0" style="4" hidden="1" customWidth="1"/>
    <col min="10454" max="10454" width="12.7109375" style="4" customWidth="1"/>
    <col min="10455" max="10455" width="8.28515625" style="4" customWidth="1"/>
    <col min="10456" max="10456" width="14.42578125" style="4" customWidth="1"/>
    <col min="10457" max="10457" width="7.28515625" style="4" customWidth="1"/>
    <col min="10458" max="10458" width="9.5703125" style="4" customWidth="1"/>
    <col min="10459" max="10459" width="17" style="4" customWidth="1"/>
    <col min="10460" max="10460" width="0" style="4" hidden="1" customWidth="1"/>
    <col min="10461" max="10461" width="15.140625" style="4" customWidth="1"/>
    <col min="10462" max="10462" width="13.85546875" style="4" customWidth="1"/>
    <col min="10463" max="10463" width="4.42578125" style="4" customWidth="1"/>
    <col min="10464" max="10464" width="12.28515625" style="4" customWidth="1"/>
    <col min="10465" max="10465" width="6" style="4" customWidth="1"/>
    <col min="10466" max="10466" width="19.85546875" style="4" customWidth="1"/>
    <col min="10467" max="10467" width="5.140625" style="4" customWidth="1"/>
    <col min="10468" max="10468" width="17.28515625" style="4" bestFit="1" customWidth="1"/>
    <col min="10469" max="10470" width="0" style="4" hidden="1" customWidth="1"/>
    <col min="10471" max="10471" width="5.85546875" style="4" customWidth="1"/>
    <col min="10472" max="10472" width="10.28515625" style="4" customWidth="1"/>
    <col min="10473" max="10473" width="15.42578125" style="4" customWidth="1"/>
    <col min="10474" max="10474" width="11.85546875" style="4" customWidth="1"/>
    <col min="10475" max="10475" width="16.42578125" style="4" customWidth="1"/>
    <col min="10476" max="10476" width="17.28515625" style="4" customWidth="1"/>
    <col min="10477" max="10477" width="19" style="4" bestFit="1" customWidth="1"/>
    <col min="10478" max="10478" width="20" style="4" customWidth="1"/>
    <col min="10479" max="10479" width="18.7109375" style="4" bestFit="1" customWidth="1"/>
    <col min="10480" max="10480" width="17.85546875" style="4" bestFit="1" customWidth="1"/>
    <col min="10481" max="10481" width="16.42578125" style="4" bestFit="1" customWidth="1"/>
    <col min="10482" max="10496" width="9.140625" style="4"/>
    <col min="10497" max="10497" width="6.85546875" style="4" customWidth="1"/>
    <col min="10498" max="10498" width="54.85546875" style="4" customWidth="1"/>
    <col min="10499" max="10499" width="0" style="4" hidden="1" customWidth="1"/>
    <col min="10500" max="10500" width="12.7109375" style="4" customWidth="1"/>
    <col min="10501" max="10501" width="13.85546875" style="4" customWidth="1"/>
    <col min="10502" max="10502" width="19.42578125" style="4" customWidth="1"/>
    <col min="10503" max="10503" width="9.28515625" style="4" customWidth="1"/>
    <col min="10504" max="10504" width="11.85546875" style="4" customWidth="1"/>
    <col min="10505" max="10505" width="16.42578125" style="4" customWidth="1"/>
    <col min="10506" max="10506" width="0" style="4" hidden="1" customWidth="1"/>
    <col min="10507" max="10507" width="16.5703125" style="4" customWidth="1"/>
    <col min="10508" max="10509" width="0" style="4" hidden="1" customWidth="1"/>
    <col min="10510" max="10511" width="16.5703125" style="4" customWidth="1"/>
    <col min="10512" max="10512" width="5.140625" style="4" customWidth="1"/>
    <col min="10513" max="10513" width="16.5703125" style="4" customWidth="1"/>
    <col min="10514" max="10514" width="5.140625" style="4" customWidth="1"/>
    <col min="10515" max="10515" width="16.5703125" style="4" customWidth="1"/>
    <col min="10516" max="10516" width="5.140625" style="4" customWidth="1"/>
    <col min="10517" max="10517" width="16.5703125" style="4" customWidth="1"/>
    <col min="10518" max="10518" width="5.140625" style="4" customWidth="1"/>
    <col min="10519" max="10519" width="15.28515625" style="4" customWidth="1"/>
    <col min="10520" max="10520" width="4.7109375" style="4" customWidth="1"/>
    <col min="10521" max="10521" width="0" style="4" hidden="1" customWidth="1"/>
    <col min="10522" max="10522" width="6.5703125" style="4" customWidth="1"/>
    <col min="10523" max="10523" width="10.5703125" style="4" customWidth="1"/>
    <col min="10524" max="10524" width="17.42578125" style="4" customWidth="1"/>
    <col min="10525" max="10525" width="7.7109375" style="4" customWidth="1"/>
    <col min="10526" max="10526" width="15.42578125" style="4" customWidth="1"/>
    <col min="10527" max="10527" width="16.42578125" style="4" customWidth="1"/>
    <col min="10528" max="10528" width="17.28515625" style="4" customWidth="1"/>
    <col min="10529" max="10529" width="0" style="4" hidden="1" customWidth="1"/>
    <col min="10530" max="10530" width="19" style="4" customWidth="1"/>
    <col min="10531" max="10533" width="26" style="4" customWidth="1"/>
    <col min="10534" max="10534" width="35.42578125" style="4" customWidth="1"/>
    <col min="10535" max="10535" width="27.5703125" style="4" customWidth="1"/>
    <col min="10536" max="10536" width="9.140625" style="4" customWidth="1"/>
    <col min="10537" max="10537" width="26.7109375" style="4" customWidth="1"/>
    <col min="10538" max="10538" width="17.28515625" style="4" customWidth="1"/>
    <col min="10539" max="10704" width="9.140625" style="4" customWidth="1"/>
    <col min="10705" max="10706" width="3" style="4" customWidth="1"/>
    <col min="10707" max="10707" width="4.42578125" style="4" bestFit="1" customWidth="1"/>
    <col min="10708" max="10708" width="59.140625" style="4" customWidth="1"/>
    <col min="10709" max="10709" width="0" style="4" hidden="1" customWidth="1"/>
    <col min="10710" max="10710" width="12.7109375" style="4" customWidth="1"/>
    <col min="10711" max="10711" width="8.28515625" style="4" customWidth="1"/>
    <col min="10712" max="10712" width="14.42578125" style="4" customWidth="1"/>
    <col min="10713" max="10713" width="7.28515625" style="4" customWidth="1"/>
    <col min="10714" max="10714" width="9.5703125" style="4" customWidth="1"/>
    <col min="10715" max="10715" width="17" style="4" customWidth="1"/>
    <col min="10716" max="10716" width="0" style="4" hidden="1" customWidth="1"/>
    <col min="10717" max="10717" width="15.140625" style="4" customWidth="1"/>
    <col min="10718" max="10718" width="13.85546875" style="4" customWidth="1"/>
    <col min="10719" max="10719" width="4.42578125" style="4" customWidth="1"/>
    <col min="10720" max="10720" width="12.28515625" style="4" customWidth="1"/>
    <col min="10721" max="10721" width="6" style="4" customWidth="1"/>
    <col min="10722" max="10722" width="19.85546875" style="4" customWidth="1"/>
    <col min="10723" max="10723" width="5.140625" style="4" customWidth="1"/>
    <col min="10724" max="10724" width="17.28515625" style="4" bestFit="1" customWidth="1"/>
    <col min="10725" max="10726" width="0" style="4" hidden="1" customWidth="1"/>
    <col min="10727" max="10727" width="5.85546875" style="4" customWidth="1"/>
    <col min="10728" max="10728" width="10.28515625" style="4" customWidth="1"/>
    <col min="10729" max="10729" width="15.42578125" style="4" customWidth="1"/>
    <col min="10730" max="10730" width="11.85546875" style="4" customWidth="1"/>
    <col min="10731" max="10731" width="16.42578125" style="4" customWidth="1"/>
    <col min="10732" max="10732" width="17.28515625" style="4" customWidth="1"/>
    <col min="10733" max="10733" width="19" style="4" bestFit="1" customWidth="1"/>
    <col min="10734" max="10734" width="20" style="4" customWidth="1"/>
    <col min="10735" max="10735" width="18.7109375" style="4" bestFit="1" customWidth="1"/>
    <col min="10736" max="10736" width="17.85546875" style="4" bestFit="1" customWidth="1"/>
    <col min="10737" max="10737" width="16.42578125" style="4" bestFit="1" customWidth="1"/>
    <col min="10738" max="10752" width="9.140625" style="4"/>
    <col min="10753" max="10753" width="6.85546875" style="4" customWidth="1"/>
    <col min="10754" max="10754" width="54.85546875" style="4" customWidth="1"/>
    <col min="10755" max="10755" width="0" style="4" hidden="1" customWidth="1"/>
    <col min="10756" max="10756" width="12.7109375" style="4" customWidth="1"/>
    <col min="10757" max="10757" width="13.85546875" style="4" customWidth="1"/>
    <col min="10758" max="10758" width="19.42578125" style="4" customWidth="1"/>
    <col min="10759" max="10759" width="9.28515625" style="4" customWidth="1"/>
    <col min="10760" max="10760" width="11.85546875" style="4" customWidth="1"/>
    <col min="10761" max="10761" width="16.42578125" style="4" customWidth="1"/>
    <col min="10762" max="10762" width="0" style="4" hidden="1" customWidth="1"/>
    <col min="10763" max="10763" width="16.5703125" style="4" customWidth="1"/>
    <col min="10764" max="10765" width="0" style="4" hidden="1" customWidth="1"/>
    <col min="10766" max="10767" width="16.5703125" style="4" customWidth="1"/>
    <col min="10768" max="10768" width="5.140625" style="4" customWidth="1"/>
    <col min="10769" max="10769" width="16.5703125" style="4" customWidth="1"/>
    <col min="10770" max="10770" width="5.140625" style="4" customWidth="1"/>
    <col min="10771" max="10771" width="16.5703125" style="4" customWidth="1"/>
    <col min="10772" max="10772" width="5.140625" style="4" customWidth="1"/>
    <col min="10773" max="10773" width="16.5703125" style="4" customWidth="1"/>
    <col min="10774" max="10774" width="5.140625" style="4" customWidth="1"/>
    <col min="10775" max="10775" width="15.28515625" style="4" customWidth="1"/>
    <col min="10776" max="10776" width="4.7109375" style="4" customWidth="1"/>
    <col min="10777" max="10777" width="0" style="4" hidden="1" customWidth="1"/>
    <col min="10778" max="10778" width="6.5703125" style="4" customWidth="1"/>
    <col min="10779" max="10779" width="10.5703125" style="4" customWidth="1"/>
    <col min="10780" max="10780" width="17.42578125" style="4" customWidth="1"/>
    <col min="10781" max="10781" width="7.7109375" style="4" customWidth="1"/>
    <col min="10782" max="10782" width="15.42578125" style="4" customWidth="1"/>
    <col min="10783" max="10783" width="16.42578125" style="4" customWidth="1"/>
    <col min="10784" max="10784" width="17.28515625" style="4" customWidth="1"/>
    <col min="10785" max="10785" width="0" style="4" hidden="1" customWidth="1"/>
    <col min="10786" max="10786" width="19" style="4" customWidth="1"/>
    <col min="10787" max="10789" width="26" style="4" customWidth="1"/>
    <col min="10790" max="10790" width="35.42578125" style="4" customWidth="1"/>
    <col min="10791" max="10791" width="27.5703125" style="4" customWidth="1"/>
    <col min="10792" max="10792" width="9.140625" style="4" customWidth="1"/>
    <col min="10793" max="10793" width="26.7109375" style="4" customWidth="1"/>
    <col min="10794" max="10794" width="17.28515625" style="4" customWidth="1"/>
    <col min="10795" max="10960" width="9.140625" style="4" customWidth="1"/>
    <col min="10961" max="10962" width="3" style="4" customWidth="1"/>
    <col min="10963" max="10963" width="4.42578125" style="4" bestFit="1" customWidth="1"/>
    <col min="10964" max="10964" width="59.140625" style="4" customWidth="1"/>
    <col min="10965" max="10965" width="0" style="4" hidden="1" customWidth="1"/>
    <col min="10966" max="10966" width="12.7109375" style="4" customWidth="1"/>
    <col min="10967" max="10967" width="8.28515625" style="4" customWidth="1"/>
    <col min="10968" max="10968" width="14.42578125" style="4" customWidth="1"/>
    <col min="10969" max="10969" width="7.28515625" style="4" customWidth="1"/>
    <col min="10970" max="10970" width="9.5703125" style="4" customWidth="1"/>
    <col min="10971" max="10971" width="17" style="4" customWidth="1"/>
    <col min="10972" max="10972" width="0" style="4" hidden="1" customWidth="1"/>
    <col min="10973" max="10973" width="15.140625" style="4" customWidth="1"/>
    <col min="10974" max="10974" width="13.85546875" style="4" customWidth="1"/>
    <col min="10975" max="10975" width="4.42578125" style="4" customWidth="1"/>
    <col min="10976" max="10976" width="12.28515625" style="4" customWidth="1"/>
    <col min="10977" max="10977" width="6" style="4" customWidth="1"/>
    <col min="10978" max="10978" width="19.85546875" style="4" customWidth="1"/>
    <col min="10979" max="10979" width="5.140625" style="4" customWidth="1"/>
    <col min="10980" max="10980" width="17.28515625" style="4" bestFit="1" customWidth="1"/>
    <col min="10981" max="10982" width="0" style="4" hidden="1" customWidth="1"/>
    <col min="10983" max="10983" width="5.85546875" style="4" customWidth="1"/>
    <col min="10984" max="10984" width="10.28515625" style="4" customWidth="1"/>
    <col min="10985" max="10985" width="15.42578125" style="4" customWidth="1"/>
    <col min="10986" max="10986" width="11.85546875" style="4" customWidth="1"/>
    <col min="10987" max="10987" width="16.42578125" style="4" customWidth="1"/>
    <col min="10988" max="10988" width="17.28515625" style="4" customWidth="1"/>
    <col min="10989" max="10989" width="19" style="4" bestFit="1" customWidth="1"/>
    <col min="10990" max="10990" width="20" style="4" customWidth="1"/>
    <col min="10991" max="10991" width="18.7109375" style="4" bestFit="1" customWidth="1"/>
    <col min="10992" max="10992" width="17.85546875" style="4" bestFit="1" customWidth="1"/>
    <col min="10993" max="10993" width="16.42578125" style="4" bestFit="1" customWidth="1"/>
    <col min="10994" max="11008" width="9.140625" style="4"/>
    <col min="11009" max="11009" width="6.85546875" style="4" customWidth="1"/>
    <col min="11010" max="11010" width="54.85546875" style="4" customWidth="1"/>
    <col min="11011" max="11011" width="0" style="4" hidden="1" customWidth="1"/>
    <col min="11012" max="11012" width="12.7109375" style="4" customWidth="1"/>
    <col min="11013" max="11013" width="13.85546875" style="4" customWidth="1"/>
    <col min="11014" max="11014" width="19.42578125" style="4" customWidth="1"/>
    <col min="11015" max="11015" width="9.28515625" style="4" customWidth="1"/>
    <col min="11016" max="11016" width="11.85546875" style="4" customWidth="1"/>
    <col min="11017" max="11017" width="16.42578125" style="4" customWidth="1"/>
    <col min="11018" max="11018" width="0" style="4" hidden="1" customWidth="1"/>
    <col min="11019" max="11019" width="16.5703125" style="4" customWidth="1"/>
    <col min="11020" max="11021" width="0" style="4" hidden="1" customWidth="1"/>
    <col min="11022" max="11023" width="16.5703125" style="4" customWidth="1"/>
    <col min="11024" max="11024" width="5.140625" style="4" customWidth="1"/>
    <col min="11025" max="11025" width="16.5703125" style="4" customWidth="1"/>
    <col min="11026" max="11026" width="5.140625" style="4" customWidth="1"/>
    <col min="11027" max="11027" width="16.5703125" style="4" customWidth="1"/>
    <col min="11028" max="11028" width="5.140625" style="4" customWidth="1"/>
    <col min="11029" max="11029" width="16.5703125" style="4" customWidth="1"/>
    <col min="11030" max="11030" width="5.140625" style="4" customWidth="1"/>
    <col min="11031" max="11031" width="15.28515625" style="4" customWidth="1"/>
    <col min="11032" max="11032" width="4.7109375" style="4" customWidth="1"/>
    <col min="11033" max="11033" width="0" style="4" hidden="1" customWidth="1"/>
    <col min="11034" max="11034" width="6.5703125" style="4" customWidth="1"/>
    <col min="11035" max="11035" width="10.5703125" style="4" customWidth="1"/>
    <col min="11036" max="11036" width="17.42578125" style="4" customWidth="1"/>
    <col min="11037" max="11037" width="7.7109375" style="4" customWidth="1"/>
    <col min="11038" max="11038" width="15.42578125" style="4" customWidth="1"/>
    <col min="11039" max="11039" width="16.42578125" style="4" customWidth="1"/>
    <col min="11040" max="11040" width="17.28515625" style="4" customWidth="1"/>
    <col min="11041" max="11041" width="0" style="4" hidden="1" customWidth="1"/>
    <col min="11042" max="11042" width="19" style="4" customWidth="1"/>
    <col min="11043" max="11045" width="26" style="4" customWidth="1"/>
    <col min="11046" max="11046" width="35.42578125" style="4" customWidth="1"/>
    <col min="11047" max="11047" width="27.5703125" style="4" customWidth="1"/>
    <col min="11048" max="11048" width="9.140625" style="4" customWidth="1"/>
    <col min="11049" max="11049" width="26.7109375" style="4" customWidth="1"/>
    <col min="11050" max="11050" width="17.28515625" style="4" customWidth="1"/>
    <col min="11051" max="11216" width="9.140625" style="4" customWidth="1"/>
    <col min="11217" max="11218" width="3" style="4" customWidth="1"/>
    <col min="11219" max="11219" width="4.42578125" style="4" bestFit="1" customWidth="1"/>
    <col min="11220" max="11220" width="59.140625" style="4" customWidth="1"/>
    <col min="11221" max="11221" width="0" style="4" hidden="1" customWidth="1"/>
    <col min="11222" max="11222" width="12.7109375" style="4" customWidth="1"/>
    <col min="11223" max="11223" width="8.28515625" style="4" customWidth="1"/>
    <col min="11224" max="11224" width="14.42578125" style="4" customWidth="1"/>
    <col min="11225" max="11225" width="7.28515625" style="4" customWidth="1"/>
    <col min="11226" max="11226" width="9.5703125" style="4" customWidth="1"/>
    <col min="11227" max="11227" width="17" style="4" customWidth="1"/>
    <col min="11228" max="11228" width="0" style="4" hidden="1" customWidth="1"/>
    <col min="11229" max="11229" width="15.140625" style="4" customWidth="1"/>
    <col min="11230" max="11230" width="13.85546875" style="4" customWidth="1"/>
    <col min="11231" max="11231" width="4.42578125" style="4" customWidth="1"/>
    <col min="11232" max="11232" width="12.28515625" style="4" customWidth="1"/>
    <col min="11233" max="11233" width="6" style="4" customWidth="1"/>
    <col min="11234" max="11234" width="19.85546875" style="4" customWidth="1"/>
    <col min="11235" max="11235" width="5.140625" style="4" customWidth="1"/>
    <col min="11236" max="11236" width="17.28515625" style="4" bestFit="1" customWidth="1"/>
    <col min="11237" max="11238" width="0" style="4" hidden="1" customWidth="1"/>
    <col min="11239" max="11239" width="5.85546875" style="4" customWidth="1"/>
    <col min="11240" max="11240" width="10.28515625" style="4" customWidth="1"/>
    <col min="11241" max="11241" width="15.42578125" style="4" customWidth="1"/>
    <col min="11242" max="11242" width="11.85546875" style="4" customWidth="1"/>
    <col min="11243" max="11243" width="16.42578125" style="4" customWidth="1"/>
    <col min="11244" max="11244" width="17.28515625" style="4" customWidth="1"/>
    <col min="11245" max="11245" width="19" style="4" bestFit="1" customWidth="1"/>
    <col min="11246" max="11246" width="20" style="4" customWidth="1"/>
    <col min="11247" max="11247" width="18.7109375" style="4" bestFit="1" customWidth="1"/>
    <col min="11248" max="11248" width="17.85546875" style="4" bestFit="1" customWidth="1"/>
    <col min="11249" max="11249" width="16.42578125" style="4" bestFit="1" customWidth="1"/>
    <col min="11250" max="11264" width="9.140625" style="4"/>
    <col min="11265" max="11265" width="6.85546875" style="4" customWidth="1"/>
    <col min="11266" max="11266" width="54.85546875" style="4" customWidth="1"/>
    <col min="11267" max="11267" width="0" style="4" hidden="1" customWidth="1"/>
    <col min="11268" max="11268" width="12.7109375" style="4" customWidth="1"/>
    <col min="11269" max="11269" width="13.85546875" style="4" customWidth="1"/>
    <col min="11270" max="11270" width="19.42578125" style="4" customWidth="1"/>
    <col min="11271" max="11271" width="9.28515625" style="4" customWidth="1"/>
    <col min="11272" max="11272" width="11.85546875" style="4" customWidth="1"/>
    <col min="11273" max="11273" width="16.42578125" style="4" customWidth="1"/>
    <col min="11274" max="11274" width="0" style="4" hidden="1" customWidth="1"/>
    <col min="11275" max="11275" width="16.5703125" style="4" customWidth="1"/>
    <col min="11276" max="11277" width="0" style="4" hidden="1" customWidth="1"/>
    <col min="11278" max="11279" width="16.5703125" style="4" customWidth="1"/>
    <col min="11280" max="11280" width="5.140625" style="4" customWidth="1"/>
    <col min="11281" max="11281" width="16.5703125" style="4" customWidth="1"/>
    <col min="11282" max="11282" width="5.140625" style="4" customWidth="1"/>
    <col min="11283" max="11283" width="16.5703125" style="4" customWidth="1"/>
    <col min="11284" max="11284" width="5.140625" style="4" customWidth="1"/>
    <col min="11285" max="11285" width="16.5703125" style="4" customWidth="1"/>
    <col min="11286" max="11286" width="5.140625" style="4" customWidth="1"/>
    <col min="11287" max="11287" width="15.28515625" style="4" customWidth="1"/>
    <col min="11288" max="11288" width="4.7109375" style="4" customWidth="1"/>
    <col min="11289" max="11289" width="0" style="4" hidden="1" customWidth="1"/>
    <col min="11290" max="11290" width="6.5703125" style="4" customWidth="1"/>
    <col min="11291" max="11291" width="10.5703125" style="4" customWidth="1"/>
    <col min="11292" max="11292" width="17.42578125" style="4" customWidth="1"/>
    <col min="11293" max="11293" width="7.7109375" style="4" customWidth="1"/>
    <col min="11294" max="11294" width="15.42578125" style="4" customWidth="1"/>
    <col min="11295" max="11295" width="16.42578125" style="4" customWidth="1"/>
    <col min="11296" max="11296" width="17.28515625" style="4" customWidth="1"/>
    <col min="11297" max="11297" width="0" style="4" hidden="1" customWidth="1"/>
    <col min="11298" max="11298" width="19" style="4" customWidth="1"/>
    <col min="11299" max="11301" width="26" style="4" customWidth="1"/>
    <col min="11302" max="11302" width="35.42578125" style="4" customWidth="1"/>
    <col min="11303" max="11303" width="27.5703125" style="4" customWidth="1"/>
    <col min="11304" max="11304" width="9.140625" style="4" customWidth="1"/>
    <col min="11305" max="11305" width="26.7109375" style="4" customWidth="1"/>
    <col min="11306" max="11306" width="17.28515625" style="4" customWidth="1"/>
    <col min="11307" max="11472" width="9.140625" style="4" customWidth="1"/>
    <col min="11473" max="11474" width="3" style="4" customWidth="1"/>
    <col min="11475" max="11475" width="4.42578125" style="4" bestFit="1" customWidth="1"/>
    <col min="11476" max="11476" width="59.140625" style="4" customWidth="1"/>
    <col min="11477" max="11477" width="0" style="4" hidden="1" customWidth="1"/>
    <col min="11478" max="11478" width="12.7109375" style="4" customWidth="1"/>
    <col min="11479" max="11479" width="8.28515625" style="4" customWidth="1"/>
    <col min="11480" max="11480" width="14.42578125" style="4" customWidth="1"/>
    <col min="11481" max="11481" width="7.28515625" style="4" customWidth="1"/>
    <col min="11482" max="11482" width="9.5703125" style="4" customWidth="1"/>
    <col min="11483" max="11483" width="17" style="4" customWidth="1"/>
    <col min="11484" max="11484" width="0" style="4" hidden="1" customWidth="1"/>
    <col min="11485" max="11485" width="15.140625" style="4" customWidth="1"/>
    <col min="11486" max="11486" width="13.85546875" style="4" customWidth="1"/>
    <col min="11487" max="11487" width="4.42578125" style="4" customWidth="1"/>
    <col min="11488" max="11488" width="12.28515625" style="4" customWidth="1"/>
    <col min="11489" max="11489" width="6" style="4" customWidth="1"/>
    <col min="11490" max="11490" width="19.85546875" style="4" customWidth="1"/>
    <col min="11491" max="11491" width="5.140625" style="4" customWidth="1"/>
    <col min="11492" max="11492" width="17.28515625" style="4" bestFit="1" customWidth="1"/>
    <col min="11493" max="11494" width="0" style="4" hidden="1" customWidth="1"/>
    <col min="11495" max="11495" width="5.85546875" style="4" customWidth="1"/>
    <col min="11496" max="11496" width="10.28515625" style="4" customWidth="1"/>
    <col min="11497" max="11497" width="15.42578125" style="4" customWidth="1"/>
    <col min="11498" max="11498" width="11.85546875" style="4" customWidth="1"/>
    <col min="11499" max="11499" width="16.42578125" style="4" customWidth="1"/>
    <col min="11500" max="11500" width="17.28515625" style="4" customWidth="1"/>
    <col min="11501" max="11501" width="19" style="4" bestFit="1" customWidth="1"/>
    <col min="11502" max="11502" width="20" style="4" customWidth="1"/>
    <col min="11503" max="11503" width="18.7109375" style="4" bestFit="1" customWidth="1"/>
    <col min="11504" max="11504" width="17.85546875" style="4" bestFit="1" customWidth="1"/>
    <col min="11505" max="11505" width="16.42578125" style="4" bestFit="1" customWidth="1"/>
    <col min="11506" max="11520" width="9.140625" style="4"/>
    <col min="11521" max="11521" width="6.85546875" style="4" customWidth="1"/>
    <col min="11522" max="11522" width="54.85546875" style="4" customWidth="1"/>
    <col min="11523" max="11523" width="0" style="4" hidden="1" customWidth="1"/>
    <col min="11524" max="11524" width="12.7109375" style="4" customWidth="1"/>
    <col min="11525" max="11525" width="13.85546875" style="4" customWidth="1"/>
    <col min="11526" max="11526" width="19.42578125" style="4" customWidth="1"/>
    <col min="11527" max="11527" width="9.28515625" style="4" customWidth="1"/>
    <col min="11528" max="11528" width="11.85546875" style="4" customWidth="1"/>
    <col min="11529" max="11529" width="16.42578125" style="4" customWidth="1"/>
    <col min="11530" max="11530" width="0" style="4" hidden="1" customWidth="1"/>
    <col min="11531" max="11531" width="16.5703125" style="4" customWidth="1"/>
    <col min="11532" max="11533" width="0" style="4" hidden="1" customWidth="1"/>
    <col min="11534" max="11535" width="16.5703125" style="4" customWidth="1"/>
    <col min="11536" max="11536" width="5.140625" style="4" customWidth="1"/>
    <col min="11537" max="11537" width="16.5703125" style="4" customWidth="1"/>
    <col min="11538" max="11538" width="5.140625" style="4" customWidth="1"/>
    <col min="11539" max="11539" width="16.5703125" style="4" customWidth="1"/>
    <col min="11540" max="11540" width="5.140625" style="4" customWidth="1"/>
    <col min="11541" max="11541" width="16.5703125" style="4" customWidth="1"/>
    <col min="11542" max="11542" width="5.140625" style="4" customWidth="1"/>
    <col min="11543" max="11543" width="15.28515625" style="4" customWidth="1"/>
    <col min="11544" max="11544" width="4.7109375" style="4" customWidth="1"/>
    <col min="11545" max="11545" width="0" style="4" hidden="1" customWidth="1"/>
    <col min="11546" max="11546" width="6.5703125" style="4" customWidth="1"/>
    <col min="11547" max="11547" width="10.5703125" style="4" customWidth="1"/>
    <col min="11548" max="11548" width="17.42578125" style="4" customWidth="1"/>
    <col min="11549" max="11549" width="7.7109375" style="4" customWidth="1"/>
    <col min="11550" max="11550" width="15.42578125" style="4" customWidth="1"/>
    <col min="11551" max="11551" width="16.42578125" style="4" customWidth="1"/>
    <col min="11552" max="11552" width="17.28515625" style="4" customWidth="1"/>
    <col min="11553" max="11553" width="0" style="4" hidden="1" customWidth="1"/>
    <col min="11554" max="11554" width="19" style="4" customWidth="1"/>
    <col min="11555" max="11557" width="26" style="4" customWidth="1"/>
    <col min="11558" max="11558" width="35.42578125" style="4" customWidth="1"/>
    <col min="11559" max="11559" width="27.5703125" style="4" customWidth="1"/>
    <col min="11560" max="11560" width="9.140625" style="4" customWidth="1"/>
    <col min="11561" max="11561" width="26.7109375" style="4" customWidth="1"/>
    <col min="11562" max="11562" width="17.28515625" style="4" customWidth="1"/>
    <col min="11563" max="11728" width="9.140625" style="4" customWidth="1"/>
    <col min="11729" max="11730" width="3" style="4" customWidth="1"/>
    <col min="11731" max="11731" width="4.42578125" style="4" bestFit="1" customWidth="1"/>
    <col min="11732" max="11732" width="59.140625" style="4" customWidth="1"/>
    <col min="11733" max="11733" width="0" style="4" hidden="1" customWidth="1"/>
    <col min="11734" max="11734" width="12.7109375" style="4" customWidth="1"/>
    <col min="11735" max="11735" width="8.28515625" style="4" customWidth="1"/>
    <col min="11736" max="11736" width="14.42578125" style="4" customWidth="1"/>
    <col min="11737" max="11737" width="7.28515625" style="4" customWidth="1"/>
    <col min="11738" max="11738" width="9.5703125" style="4" customWidth="1"/>
    <col min="11739" max="11739" width="17" style="4" customWidth="1"/>
    <col min="11740" max="11740" width="0" style="4" hidden="1" customWidth="1"/>
    <col min="11741" max="11741" width="15.140625" style="4" customWidth="1"/>
    <col min="11742" max="11742" width="13.85546875" style="4" customWidth="1"/>
    <col min="11743" max="11743" width="4.42578125" style="4" customWidth="1"/>
    <col min="11744" max="11744" width="12.28515625" style="4" customWidth="1"/>
    <col min="11745" max="11745" width="6" style="4" customWidth="1"/>
    <col min="11746" max="11746" width="19.85546875" style="4" customWidth="1"/>
    <col min="11747" max="11747" width="5.140625" style="4" customWidth="1"/>
    <col min="11748" max="11748" width="17.28515625" style="4" bestFit="1" customWidth="1"/>
    <col min="11749" max="11750" width="0" style="4" hidden="1" customWidth="1"/>
    <col min="11751" max="11751" width="5.85546875" style="4" customWidth="1"/>
    <col min="11752" max="11752" width="10.28515625" style="4" customWidth="1"/>
    <col min="11753" max="11753" width="15.42578125" style="4" customWidth="1"/>
    <col min="11754" max="11754" width="11.85546875" style="4" customWidth="1"/>
    <col min="11755" max="11755" width="16.42578125" style="4" customWidth="1"/>
    <col min="11756" max="11756" width="17.28515625" style="4" customWidth="1"/>
    <col min="11757" max="11757" width="19" style="4" bestFit="1" customWidth="1"/>
    <col min="11758" max="11758" width="20" style="4" customWidth="1"/>
    <col min="11759" max="11759" width="18.7109375" style="4" bestFit="1" customWidth="1"/>
    <col min="11760" max="11760" width="17.85546875" style="4" bestFit="1" customWidth="1"/>
    <col min="11761" max="11761" width="16.42578125" style="4" bestFit="1" customWidth="1"/>
    <col min="11762" max="11776" width="9.140625" style="4"/>
    <col min="11777" max="11777" width="6.85546875" style="4" customWidth="1"/>
    <col min="11778" max="11778" width="54.85546875" style="4" customWidth="1"/>
    <col min="11779" max="11779" width="0" style="4" hidden="1" customWidth="1"/>
    <col min="11780" max="11780" width="12.7109375" style="4" customWidth="1"/>
    <col min="11781" max="11781" width="13.85546875" style="4" customWidth="1"/>
    <col min="11782" max="11782" width="19.42578125" style="4" customWidth="1"/>
    <col min="11783" max="11783" width="9.28515625" style="4" customWidth="1"/>
    <col min="11784" max="11784" width="11.85546875" style="4" customWidth="1"/>
    <col min="11785" max="11785" width="16.42578125" style="4" customWidth="1"/>
    <col min="11786" max="11786" width="0" style="4" hidden="1" customWidth="1"/>
    <col min="11787" max="11787" width="16.5703125" style="4" customWidth="1"/>
    <col min="11788" max="11789" width="0" style="4" hidden="1" customWidth="1"/>
    <col min="11790" max="11791" width="16.5703125" style="4" customWidth="1"/>
    <col min="11792" max="11792" width="5.140625" style="4" customWidth="1"/>
    <col min="11793" max="11793" width="16.5703125" style="4" customWidth="1"/>
    <col min="11794" max="11794" width="5.140625" style="4" customWidth="1"/>
    <col min="11795" max="11795" width="16.5703125" style="4" customWidth="1"/>
    <col min="11796" max="11796" width="5.140625" style="4" customWidth="1"/>
    <col min="11797" max="11797" width="16.5703125" style="4" customWidth="1"/>
    <col min="11798" max="11798" width="5.140625" style="4" customWidth="1"/>
    <col min="11799" max="11799" width="15.28515625" style="4" customWidth="1"/>
    <col min="11800" max="11800" width="4.7109375" style="4" customWidth="1"/>
    <col min="11801" max="11801" width="0" style="4" hidden="1" customWidth="1"/>
    <col min="11802" max="11802" width="6.5703125" style="4" customWidth="1"/>
    <col min="11803" max="11803" width="10.5703125" style="4" customWidth="1"/>
    <col min="11804" max="11804" width="17.42578125" style="4" customWidth="1"/>
    <col min="11805" max="11805" width="7.7109375" style="4" customWidth="1"/>
    <col min="11806" max="11806" width="15.42578125" style="4" customWidth="1"/>
    <col min="11807" max="11807" width="16.42578125" style="4" customWidth="1"/>
    <col min="11808" max="11808" width="17.28515625" style="4" customWidth="1"/>
    <col min="11809" max="11809" width="0" style="4" hidden="1" customWidth="1"/>
    <col min="11810" max="11810" width="19" style="4" customWidth="1"/>
    <col min="11811" max="11813" width="26" style="4" customWidth="1"/>
    <col min="11814" max="11814" width="35.42578125" style="4" customWidth="1"/>
    <col min="11815" max="11815" width="27.5703125" style="4" customWidth="1"/>
    <col min="11816" max="11816" width="9.140625" style="4" customWidth="1"/>
    <col min="11817" max="11817" width="26.7109375" style="4" customWidth="1"/>
    <col min="11818" max="11818" width="17.28515625" style="4" customWidth="1"/>
    <col min="11819" max="11984" width="9.140625" style="4" customWidth="1"/>
    <col min="11985" max="11986" width="3" style="4" customWidth="1"/>
    <col min="11987" max="11987" width="4.42578125" style="4" bestFit="1" customWidth="1"/>
    <col min="11988" max="11988" width="59.140625" style="4" customWidth="1"/>
    <col min="11989" max="11989" width="0" style="4" hidden="1" customWidth="1"/>
    <col min="11990" max="11990" width="12.7109375" style="4" customWidth="1"/>
    <col min="11991" max="11991" width="8.28515625" style="4" customWidth="1"/>
    <col min="11992" max="11992" width="14.42578125" style="4" customWidth="1"/>
    <col min="11993" max="11993" width="7.28515625" style="4" customWidth="1"/>
    <col min="11994" max="11994" width="9.5703125" style="4" customWidth="1"/>
    <col min="11995" max="11995" width="17" style="4" customWidth="1"/>
    <col min="11996" max="11996" width="0" style="4" hidden="1" customWidth="1"/>
    <col min="11997" max="11997" width="15.140625" style="4" customWidth="1"/>
    <col min="11998" max="11998" width="13.85546875" style="4" customWidth="1"/>
    <col min="11999" max="11999" width="4.42578125" style="4" customWidth="1"/>
    <col min="12000" max="12000" width="12.28515625" style="4" customWidth="1"/>
    <col min="12001" max="12001" width="6" style="4" customWidth="1"/>
    <col min="12002" max="12002" width="19.85546875" style="4" customWidth="1"/>
    <col min="12003" max="12003" width="5.140625" style="4" customWidth="1"/>
    <col min="12004" max="12004" width="17.28515625" style="4" bestFit="1" customWidth="1"/>
    <col min="12005" max="12006" width="0" style="4" hidden="1" customWidth="1"/>
    <col min="12007" max="12007" width="5.85546875" style="4" customWidth="1"/>
    <col min="12008" max="12008" width="10.28515625" style="4" customWidth="1"/>
    <col min="12009" max="12009" width="15.42578125" style="4" customWidth="1"/>
    <col min="12010" max="12010" width="11.85546875" style="4" customWidth="1"/>
    <col min="12011" max="12011" width="16.42578125" style="4" customWidth="1"/>
    <col min="12012" max="12012" width="17.28515625" style="4" customWidth="1"/>
    <col min="12013" max="12013" width="19" style="4" bestFit="1" customWidth="1"/>
    <col min="12014" max="12014" width="20" style="4" customWidth="1"/>
    <col min="12015" max="12015" width="18.7109375" style="4" bestFit="1" customWidth="1"/>
    <col min="12016" max="12016" width="17.85546875" style="4" bestFit="1" customWidth="1"/>
    <col min="12017" max="12017" width="16.42578125" style="4" bestFit="1" customWidth="1"/>
    <col min="12018" max="12032" width="9.140625" style="4"/>
    <col min="12033" max="12033" width="6.85546875" style="4" customWidth="1"/>
    <col min="12034" max="12034" width="54.85546875" style="4" customWidth="1"/>
    <col min="12035" max="12035" width="0" style="4" hidden="1" customWidth="1"/>
    <col min="12036" max="12036" width="12.7109375" style="4" customWidth="1"/>
    <col min="12037" max="12037" width="13.85546875" style="4" customWidth="1"/>
    <col min="12038" max="12038" width="19.42578125" style="4" customWidth="1"/>
    <col min="12039" max="12039" width="9.28515625" style="4" customWidth="1"/>
    <col min="12040" max="12040" width="11.85546875" style="4" customWidth="1"/>
    <col min="12041" max="12041" width="16.42578125" style="4" customWidth="1"/>
    <col min="12042" max="12042" width="0" style="4" hidden="1" customWidth="1"/>
    <col min="12043" max="12043" width="16.5703125" style="4" customWidth="1"/>
    <col min="12044" max="12045" width="0" style="4" hidden="1" customWidth="1"/>
    <col min="12046" max="12047" width="16.5703125" style="4" customWidth="1"/>
    <col min="12048" max="12048" width="5.140625" style="4" customWidth="1"/>
    <col min="12049" max="12049" width="16.5703125" style="4" customWidth="1"/>
    <col min="12050" max="12050" width="5.140625" style="4" customWidth="1"/>
    <col min="12051" max="12051" width="16.5703125" style="4" customWidth="1"/>
    <col min="12052" max="12052" width="5.140625" style="4" customWidth="1"/>
    <col min="12053" max="12053" width="16.5703125" style="4" customWidth="1"/>
    <col min="12054" max="12054" width="5.140625" style="4" customWidth="1"/>
    <col min="12055" max="12055" width="15.28515625" style="4" customWidth="1"/>
    <col min="12056" max="12056" width="4.7109375" style="4" customWidth="1"/>
    <col min="12057" max="12057" width="0" style="4" hidden="1" customWidth="1"/>
    <col min="12058" max="12058" width="6.5703125" style="4" customWidth="1"/>
    <col min="12059" max="12059" width="10.5703125" style="4" customWidth="1"/>
    <col min="12060" max="12060" width="17.42578125" style="4" customWidth="1"/>
    <col min="12061" max="12061" width="7.7109375" style="4" customWidth="1"/>
    <col min="12062" max="12062" width="15.42578125" style="4" customWidth="1"/>
    <col min="12063" max="12063" width="16.42578125" style="4" customWidth="1"/>
    <col min="12064" max="12064" width="17.28515625" style="4" customWidth="1"/>
    <col min="12065" max="12065" width="0" style="4" hidden="1" customWidth="1"/>
    <col min="12066" max="12066" width="19" style="4" customWidth="1"/>
    <col min="12067" max="12069" width="26" style="4" customWidth="1"/>
    <col min="12070" max="12070" width="35.42578125" style="4" customWidth="1"/>
    <col min="12071" max="12071" width="27.5703125" style="4" customWidth="1"/>
    <col min="12072" max="12072" width="9.140625" style="4" customWidth="1"/>
    <col min="12073" max="12073" width="26.7109375" style="4" customWidth="1"/>
    <col min="12074" max="12074" width="17.28515625" style="4" customWidth="1"/>
    <col min="12075" max="12240" width="9.140625" style="4" customWidth="1"/>
    <col min="12241" max="12242" width="3" style="4" customWidth="1"/>
    <col min="12243" max="12243" width="4.42578125" style="4" bestFit="1" customWidth="1"/>
    <col min="12244" max="12244" width="59.140625" style="4" customWidth="1"/>
    <col min="12245" max="12245" width="0" style="4" hidden="1" customWidth="1"/>
    <col min="12246" max="12246" width="12.7109375" style="4" customWidth="1"/>
    <col min="12247" max="12247" width="8.28515625" style="4" customWidth="1"/>
    <col min="12248" max="12248" width="14.42578125" style="4" customWidth="1"/>
    <col min="12249" max="12249" width="7.28515625" style="4" customWidth="1"/>
    <col min="12250" max="12250" width="9.5703125" style="4" customWidth="1"/>
    <col min="12251" max="12251" width="17" style="4" customWidth="1"/>
    <col min="12252" max="12252" width="0" style="4" hidden="1" customWidth="1"/>
    <col min="12253" max="12253" width="15.140625" style="4" customWidth="1"/>
    <col min="12254" max="12254" width="13.85546875" style="4" customWidth="1"/>
    <col min="12255" max="12255" width="4.42578125" style="4" customWidth="1"/>
    <col min="12256" max="12256" width="12.28515625" style="4" customWidth="1"/>
    <col min="12257" max="12257" width="6" style="4" customWidth="1"/>
    <col min="12258" max="12258" width="19.85546875" style="4" customWidth="1"/>
    <col min="12259" max="12259" width="5.140625" style="4" customWidth="1"/>
    <col min="12260" max="12260" width="17.28515625" style="4" bestFit="1" customWidth="1"/>
    <col min="12261" max="12262" width="0" style="4" hidden="1" customWidth="1"/>
    <col min="12263" max="12263" width="5.85546875" style="4" customWidth="1"/>
    <col min="12264" max="12264" width="10.28515625" style="4" customWidth="1"/>
    <col min="12265" max="12265" width="15.42578125" style="4" customWidth="1"/>
    <col min="12266" max="12266" width="11.85546875" style="4" customWidth="1"/>
    <col min="12267" max="12267" width="16.42578125" style="4" customWidth="1"/>
    <col min="12268" max="12268" width="17.28515625" style="4" customWidth="1"/>
    <col min="12269" max="12269" width="19" style="4" bestFit="1" customWidth="1"/>
    <col min="12270" max="12270" width="20" style="4" customWidth="1"/>
    <col min="12271" max="12271" width="18.7109375" style="4" bestFit="1" customWidth="1"/>
    <col min="12272" max="12272" width="17.85546875" style="4" bestFit="1" customWidth="1"/>
    <col min="12273" max="12273" width="16.42578125" style="4" bestFit="1" customWidth="1"/>
    <col min="12274" max="12288" width="9.140625" style="4"/>
    <col min="12289" max="12289" width="6.85546875" style="4" customWidth="1"/>
    <col min="12290" max="12290" width="54.85546875" style="4" customWidth="1"/>
    <col min="12291" max="12291" width="0" style="4" hidden="1" customWidth="1"/>
    <col min="12292" max="12292" width="12.7109375" style="4" customWidth="1"/>
    <col min="12293" max="12293" width="13.85546875" style="4" customWidth="1"/>
    <col min="12294" max="12294" width="19.42578125" style="4" customWidth="1"/>
    <col min="12295" max="12295" width="9.28515625" style="4" customWidth="1"/>
    <col min="12296" max="12296" width="11.85546875" style="4" customWidth="1"/>
    <col min="12297" max="12297" width="16.42578125" style="4" customWidth="1"/>
    <col min="12298" max="12298" width="0" style="4" hidden="1" customWidth="1"/>
    <col min="12299" max="12299" width="16.5703125" style="4" customWidth="1"/>
    <col min="12300" max="12301" width="0" style="4" hidden="1" customWidth="1"/>
    <col min="12302" max="12303" width="16.5703125" style="4" customWidth="1"/>
    <col min="12304" max="12304" width="5.140625" style="4" customWidth="1"/>
    <col min="12305" max="12305" width="16.5703125" style="4" customWidth="1"/>
    <col min="12306" max="12306" width="5.140625" style="4" customWidth="1"/>
    <col min="12307" max="12307" width="16.5703125" style="4" customWidth="1"/>
    <col min="12308" max="12308" width="5.140625" style="4" customWidth="1"/>
    <col min="12309" max="12309" width="16.5703125" style="4" customWidth="1"/>
    <col min="12310" max="12310" width="5.140625" style="4" customWidth="1"/>
    <col min="12311" max="12311" width="15.28515625" style="4" customWidth="1"/>
    <col min="12312" max="12312" width="4.7109375" style="4" customWidth="1"/>
    <col min="12313" max="12313" width="0" style="4" hidden="1" customWidth="1"/>
    <col min="12314" max="12314" width="6.5703125" style="4" customWidth="1"/>
    <col min="12315" max="12315" width="10.5703125" style="4" customWidth="1"/>
    <col min="12316" max="12316" width="17.42578125" style="4" customWidth="1"/>
    <col min="12317" max="12317" width="7.7109375" style="4" customWidth="1"/>
    <col min="12318" max="12318" width="15.42578125" style="4" customWidth="1"/>
    <col min="12319" max="12319" width="16.42578125" style="4" customWidth="1"/>
    <col min="12320" max="12320" width="17.28515625" style="4" customWidth="1"/>
    <col min="12321" max="12321" width="0" style="4" hidden="1" customWidth="1"/>
    <col min="12322" max="12322" width="19" style="4" customWidth="1"/>
    <col min="12323" max="12325" width="26" style="4" customWidth="1"/>
    <col min="12326" max="12326" width="35.42578125" style="4" customWidth="1"/>
    <col min="12327" max="12327" width="27.5703125" style="4" customWidth="1"/>
    <col min="12328" max="12328" width="9.140625" style="4" customWidth="1"/>
    <col min="12329" max="12329" width="26.7109375" style="4" customWidth="1"/>
    <col min="12330" max="12330" width="17.28515625" style="4" customWidth="1"/>
    <col min="12331" max="12496" width="9.140625" style="4" customWidth="1"/>
    <col min="12497" max="12498" width="3" style="4" customWidth="1"/>
    <col min="12499" max="12499" width="4.42578125" style="4" bestFit="1" customWidth="1"/>
    <col min="12500" max="12500" width="59.140625" style="4" customWidth="1"/>
    <col min="12501" max="12501" width="0" style="4" hidden="1" customWidth="1"/>
    <col min="12502" max="12502" width="12.7109375" style="4" customWidth="1"/>
    <col min="12503" max="12503" width="8.28515625" style="4" customWidth="1"/>
    <col min="12504" max="12504" width="14.42578125" style="4" customWidth="1"/>
    <col min="12505" max="12505" width="7.28515625" style="4" customWidth="1"/>
    <col min="12506" max="12506" width="9.5703125" style="4" customWidth="1"/>
    <col min="12507" max="12507" width="17" style="4" customWidth="1"/>
    <col min="12508" max="12508" width="0" style="4" hidden="1" customWidth="1"/>
    <col min="12509" max="12509" width="15.140625" style="4" customWidth="1"/>
    <col min="12510" max="12510" width="13.85546875" style="4" customWidth="1"/>
    <col min="12511" max="12511" width="4.42578125" style="4" customWidth="1"/>
    <col min="12512" max="12512" width="12.28515625" style="4" customWidth="1"/>
    <col min="12513" max="12513" width="6" style="4" customWidth="1"/>
    <col min="12514" max="12514" width="19.85546875" style="4" customWidth="1"/>
    <col min="12515" max="12515" width="5.140625" style="4" customWidth="1"/>
    <col min="12516" max="12516" width="17.28515625" style="4" bestFit="1" customWidth="1"/>
    <col min="12517" max="12518" width="0" style="4" hidden="1" customWidth="1"/>
    <col min="12519" max="12519" width="5.85546875" style="4" customWidth="1"/>
    <col min="12520" max="12520" width="10.28515625" style="4" customWidth="1"/>
    <col min="12521" max="12521" width="15.42578125" style="4" customWidth="1"/>
    <col min="12522" max="12522" width="11.85546875" style="4" customWidth="1"/>
    <col min="12523" max="12523" width="16.42578125" style="4" customWidth="1"/>
    <col min="12524" max="12524" width="17.28515625" style="4" customWidth="1"/>
    <col min="12525" max="12525" width="19" style="4" bestFit="1" customWidth="1"/>
    <col min="12526" max="12526" width="20" style="4" customWidth="1"/>
    <col min="12527" max="12527" width="18.7109375" style="4" bestFit="1" customWidth="1"/>
    <col min="12528" max="12528" width="17.85546875" style="4" bestFit="1" customWidth="1"/>
    <col min="12529" max="12529" width="16.42578125" style="4" bestFit="1" customWidth="1"/>
    <col min="12530" max="12544" width="9.140625" style="4"/>
    <col min="12545" max="12545" width="6.85546875" style="4" customWidth="1"/>
    <col min="12546" max="12546" width="54.85546875" style="4" customWidth="1"/>
    <col min="12547" max="12547" width="0" style="4" hidden="1" customWidth="1"/>
    <col min="12548" max="12548" width="12.7109375" style="4" customWidth="1"/>
    <col min="12549" max="12549" width="13.85546875" style="4" customWidth="1"/>
    <col min="12550" max="12550" width="19.42578125" style="4" customWidth="1"/>
    <col min="12551" max="12551" width="9.28515625" style="4" customWidth="1"/>
    <col min="12552" max="12552" width="11.85546875" style="4" customWidth="1"/>
    <col min="12553" max="12553" width="16.42578125" style="4" customWidth="1"/>
    <col min="12554" max="12554" width="0" style="4" hidden="1" customWidth="1"/>
    <col min="12555" max="12555" width="16.5703125" style="4" customWidth="1"/>
    <col min="12556" max="12557" width="0" style="4" hidden="1" customWidth="1"/>
    <col min="12558" max="12559" width="16.5703125" style="4" customWidth="1"/>
    <col min="12560" max="12560" width="5.140625" style="4" customWidth="1"/>
    <col min="12561" max="12561" width="16.5703125" style="4" customWidth="1"/>
    <col min="12562" max="12562" width="5.140625" style="4" customWidth="1"/>
    <col min="12563" max="12563" width="16.5703125" style="4" customWidth="1"/>
    <col min="12564" max="12564" width="5.140625" style="4" customWidth="1"/>
    <col min="12565" max="12565" width="16.5703125" style="4" customWidth="1"/>
    <col min="12566" max="12566" width="5.140625" style="4" customWidth="1"/>
    <col min="12567" max="12567" width="15.28515625" style="4" customWidth="1"/>
    <col min="12568" max="12568" width="4.7109375" style="4" customWidth="1"/>
    <col min="12569" max="12569" width="0" style="4" hidden="1" customWidth="1"/>
    <col min="12570" max="12570" width="6.5703125" style="4" customWidth="1"/>
    <col min="12571" max="12571" width="10.5703125" style="4" customWidth="1"/>
    <col min="12572" max="12572" width="17.42578125" style="4" customWidth="1"/>
    <col min="12573" max="12573" width="7.7109375" style="4" customWidth="1"/>
    <col min="12574" max="12574" width="15.42578125" style="4" customWidth="1"/>
    <col min="12575" max="12575" width="16.42578125" style="4" customWidth="1"/>
    <col min="12576" max="12576" width="17.28515625" style="4" customWidth="1"/>
    <col min="12577" max="12577" width="0" style="4" hidden="1" customWidth="1"/>
    <col min="12578" max="12578" width="19" style="4" customWidth="1"/>
    <col min="12579" max="12581" width="26" style="4" customWidth="1"/>
    <col min="12582" max="12582" width="35.42578125" style="4" customWidth="1"/>
    <col min="12583" max="12583" width="27.5703125" style="4" customWidth="1"/>
    <col min="12584" max="12584" width="9.140625" style="4" customWidth="1"/>
    <col min="12585" max="12585" width="26.7109375" style="4" customWidth="1"/>
    <col min="12586" max="12586" width="17.28515625" style="4" customWidth="1"/>
    <col min="12587" max="12752" width="9.140625" style="4" customWidth="1"/>
    <col min="12753" max="12754" width="3" style="4" customWidth="1"/>
    <col min="12755" max="12755" width="4.42578125" style="4" bestFit="1" customWidth="1"/>
    <col min="12756" max="12756" width="59.140625" style="4" customWidth="1"/>
    <col min="12757" max="12757" width="0" style="4" hidden="1" customWidth="1"/>
    <col min="12758" max="12758" width="12.7109375" style="4" customWidth="1"/>
    <col min="12759" max="12759" width="8.28515625" style="4" customWidth="1"/>
    <col min="12760" max="12760" width="14.42578125" style="4" customWidth="1"/>
    <col min="12761" max="12761" width="7.28515625" style="4" customWidth="1"/>
    <col min="12762" max="12762" width="9.5703125" style="4" customWidth="1"/>
    <col min="12763" max="12763" width="17" style="4" customWidth="1"/>
    <col min="12764" max="12764" width="0" style="4" hidden="1" customWidth="1"/>
    <col min="12765" max="12765" width="15.140625" style="4" customWidth="1"/>
    <col min="12766" max="12766" width="13.85546875" style="4" customWidth="1"/>
    <col min="12767" max="12767" width="4.42578125" style="4" customWidth="1"/>
    <col min="12768" max="12768" width="12.28515625" style="4" customWidth="1"/>
    <col min="12769" max="12769" width="6" style="4" customWidth="1"/>
    <col min="12770" max="12770" width="19.85546875" style="4" customWidth="1"/>
    <col min="12771" max="12771" width="5.140625" style="4" customWidth="1"/>
    <col min="12772" max="12772" width="17.28515625" style="4" bestFit="1" customWidth="1"/>
    <col min="12773" max="12774" width="0" style="4" hidden="1" customWidth="1"/>
    <col min="12775" max="12775" width="5.85546875" style="4" customWidth="1"/>
    <col min="12776" max="12776" width="10.28515625" style="4" customWidth="1"/>
    <col min="12777" max="12777" width="15.42578125" style="4" customWidth="1"/>
    <col min="12778" max="12778" width="11.85546875" style="4" customWidth="1"/>
    <col min="12779" max="12779" width="16.42578125" style="4" customWidth="1"/>
    <col min="12780" max="12780" width="17.28515625" style="4" customWidth="1"/>
    <col min="12781" max="12781" width="19" style="4" bestFit="1" customWidth="1"/>
    <col min="12782" max="12782" width="20" style="4" customWidth="1"/>
    <col min="12783" max="12783" width="18.7109375" style="4" bestFit="1" customWidth="1"/>
    <col min="12784" max="12784" width="17.85546875" style="4" bestFit="1" customWidth="1"/>
    <col min="12785" max="12785" width="16.42578125" style="4" bestFit="1" customWidth="1"/>
    <col min="12786" max="12800" width="9.140625" style="4"/>
    <col min="12801" max="12801" width="6.85546875" style="4" customWidth="1"/>
    <col min="12802" max="12802" width="54.85546875" style="4" customWidth="1"/>
    <col min="12803" max="12803" width="0" style="4" hidden="1" customWidth="1"/>
    <col min="12804" max="12804" width="12.7109375" style="4" customWidth="1"/>
    <col min="12805" max="12805" width="13.85546875" style="4" customWidth="1"/>
    <col min="12806" max="12806" width="19.42578125" style="4" customWidth="1"/>
    <col min="12807" max="12807" width="9.28515625" style="4" customWidth="1"/>
    <col min="12808" max="12808" width="11.85546875" style="4" customWidth="1"/>
    <col min="12809" max="12809" width="16.42578125" style="4" customWidth="1"/>
    <col min="12810" max="12810" width="0" style="4" hidden="1" customWidth="1"/>
    <col min="12811" max="12811" width="16.5703125" style="4" customWidth="1"/>
    <col min="12812" max="12813" width="0" style="4" hidden="1" customWidth="1"/>
    <col min="12814" max="12815" width="16.5703125" style="4" customWidth="1"/>
    <col min="12816" max="12816" width="5.140625" style="4" customWidth="1"/>
    <col min="12817" max="12817" width="16.5703125" style="4" customWidth="1"/>
    <col min="12818" max="12818" width="5.140625" style="4" customWidth="1"/>
    <col min="12819" max="12819" width="16.5703125" style="4" customWidth="1"/>
    <col min="12820" max="12820" width="5.140625" style="4" customWidth="1"/>
    <col min="12821" max="12821" width="16.5703125" style="4" customWidth="1"/>
    <col min="12822" max="12822" width="5.140625" style="4" customWidth="1"/>
    <col min="12823" max="12823" width="15.28515625" style="4" customWidth="1"/>
    <col min="12824" max="12824" width="4.7109375" style="4" customWidth="1"/>
    <col min="12825" max="12825" width="0" style="4" hidden="1" customWidth="1"/>
    <col min="12826" max="12826" width="6.5703125" style="4" customWidth="1"/>
    <col min="12827" max="12827" width="10.5703125" style="4" customWidth="1"/>
    <col min="12828" max="12828" width="17.42578125" style="4" customWidth="1"/>
    <col min="12829" max="12829" width="7.7109375" style="4" customWidth="1"/>
    <col min="12830" max="12830" width="15.42578125" style="4" customWidth="1"/>
    <col min="12831" max="12831" width="16.42578125" style="4" customWidth="1"/>
    <col min="12832" max="12832" width="17.28515625" style="4" customWidth="1"/>
    <col min="12833" max="12833" width="0" style="4" hidden="1" customWidth="1"/>
    <col min="12834" max="12834" width="19" style="4" customWidth="1"/>
    <col min="12835" max="12837" width="26" style="4" customWidth="1"/>
    <col min="12838" max="12838" width="35.42578125" style="4" customWidth="1"/>
    <col min="12839" max="12839" width="27.5703125" style="4" customWidth="1"/>
    <col min="12840" max="12840" width="9.140625" style="4" customWidth="1"/>
    <col min="12841" max="12841" width="26.7109375" style="4" customWidth="1"/>
    <col min="12842" max="12842" width="17.28515625" style="4" customWidth="1"/>
    <col min="12843" max="13008" width="9.140625" style="4" customWidth="1"/>
    <col min="13009" max="13010" width="3" style="4" customWidth="1"/>
    <col min="13011" max="13011" width="4.42578125" style="4" bestFit="1" customWidth="1"/>
    <col min="13012" max="13012" width="59.140625" style="4" customWidth="1"/>
    <col min="13013" max="13013" width="0" style="4" hidden="1" customWidth="1"/>
    <col min="13014" max="13014" width="12.7109375" style="4" customWidth="1"/>
    <col min="13015" max="13015" width="8.28515625" style="4" customWidth="1"/>
    <col min="13016" max="13016" width="14.42578125" style="4" customWidth="1"/>
    <col min="13017" max="13017" width="7.28515625" style="4" customWidth="1"/>
    <col min="13018" max="13018" width="9.5703125" style="4" customWidth="1"/>
    <col min="13019" max="13019" width="17" style="4" customWidth="1"/>
    <col min="13020" max="13020" width="0" style="4" hidden="1" customWidth="1"/>
    <col min="13021" max="13021" width="15.140625" style="4" customWidth="1"/>
    <col min="13022" max="13022" width="13.85546875" style="4" customWidth="1"/>
    <col min="13023" max="13023" width="4.42578125" style="4" customWidth="1"/>
    <col min="13024" max="13024" width="12.28515625" style="4" customWidth="1"/>
    <col min="13025" max="13025" width="6" style="4" customWidth="1"/>
    <col min="13026" max="13026" width="19.85546875" style="4" customWidth="1"/>
    <col min="13027" max="13027" width="5.140625" style="4" customWidth="1"/>
    <col min="13028" max="13028" width="17.28515625" style="4" bestFit="1" customWidth="1"/>
    <col min="13029" max="13030" width="0" style="4" hidden="1" customWidth="1"/>
    <col min="13031" max="13031" width="5.85546875" style="4" customWidth="1"/>
    <col min="13032" max="13032" width="10.28515625" style="4" customWidth="1"/>
    <col min="13033" max="13033" width="15.42578125" style="4" customWidth="1"/>
    <col min="13034" max="13034" width="11.85546875" style="4" customWidth="1"/>
    <col min="13035" max="13035" width="16.42578125" style="4" customWidth="1"/>
    <col min="13036" max="13036" width="17.28515625" style="4" customWidth="1"/>
    <col min="13037" max="13037" width="19" style="4" bestFit="1" customWidth="1"/>
    <col min="13038" max="13038" width="20" style="4" customWidth="1"/>
    <col min="13039" max="13039" width="18.7109375" style="4" bestFit="1" customWidth="1"/>
    <col min="13040" max="13040" width="17.85546875" style="4" bestFit="1" customWidth="1"/>
    <col min="13041" max="13041" width="16.42578125" style="4" bestFit="1" customWidth="1"/>
    <col min="13042" max="13056" width="9.140625" style="4"/>
    <col min="13057" max="13057" width="6.85546875" style="4" customWidth="1"/>
    <col min="13058" max="13058" width="54.85546875" style="4" customWidth="1"/>
    <col min="13059" max="13059" width="0" style="4" hidden="1" customWidth="1"/>
    <col min="13060" max="13060" width="12.7109375" style="4" customWidth="1"/>
    <col min="13061" max="13061" width="13.85546875" style="4" customWidth="1"/>
    <col min="13062" max="13062" width="19.42578125" style="4" customWidth="1"/>
    <col min="13063" max="13063" width="9.28515625" style="4" customWidth="1"/>
    <col min="13064" max="13064" width="11.85546875" style="4" customWidth="1"/>
    <col min="13065" max="13065" width="16.42578125" style="4" customWidth="1"/>
    <col min="13066" max="13066" width="0" style="4" hidden="1" customWidth="1"/>
    <col min="13067" max="13067" width="16.5703125" style="4" customWidth="1"/>
    <col min="13068" max="13069" width="0" style="4" hidden="1" customWidth="1"/>
    <col min="13070" max="13071" width="16.5703125" style="4" customWidth="1"/>
    <col min="13072" max="13072" width="5.140625" style="4" customWidth="1"/>
    <col min="13073" max="13073" width="16.5703125" style="4" customWidth="1"/>
    <col min="13074" max="13074" width="5.140625" style="4" customWidth="1"/>
    <col min="13075" max="13075" width="16.5703125" style="4" customWidth="1"/>
    <col min="13076" max="13076" width="5.140625" style="4" customWidth="1"/>
    <col min="13077" max="13077" width="16.5703125" style="4" customWidth="1"/>
    <col min="13078" max="13078" width="5.140625" style="4" customWidth="1"/>
    <col min="13079" max="13079" width="15.28515625" style="4" customWidth="1"/>
    <col min="13080" max="13080" width="4.7109375" style="4" customWidth="1"/>
    <col min="13081" max="13081" width="0" style="4" hidden="1" customWidth="1"/>
    <col min="13082" max="13082" width="6.5703125" style="4" customWidth="1"/>
    <col min="13083" max="13083" width="10.5703125" style="4" customWidth="1"/>
    <col min="13084" max="13084" width="17.42578125" style="4" customWidth="1"/>
    <col min="13085" max="13085" width="7.7109375" style="4" customWidth="1"/>
    <col min="13086" max="13086" width="15.42578125" style="4" customWidth="1"/>
    <col min="13087" max="13087" width="16.42578125" style="4" customWidth="1"/>
    <col min="13088" max="13088" width="17.28515625" style="4" customWidth="1"/>
    <col min="13089" max="13089" width="0" style="4" hidden="1" customWidth="1"/>
    <col min="13090" max="13090" width="19" style="4" customWidth="1"/>
    <col min="13091" max="13093" width="26" style="4" customWidth="1"/>
    <col min="13094" max="13094" width="35.42578125" style="4" customWidth="1"/>
    <col min="13095" max="13095" width="27.5703125" style="4" customWidth="1"/>
    <col min="13096" max="13096" width="9.140625" style="4" customWidth="1"/>
    <col min="13097" max="13097" width="26.7109375" style="4" customWidth="1"/>
    <col min="13098" max="13098" width="17.28515625" style="4" customWidth="1"/>
    <col min="13099" max="13264" width="9.140625" style="4" customWidth="1"/>
    <col min="13265" max="13266" width="3" style="4" customWidth="1"/>
    <col min="13267" max="13267" width="4.42578125" style="4" bestFit="1" customWidth="1"/>
    <col min="13268" max="13268" width="59.140625" style="4" customWidth="1"/>
    <col min="13269" max="13269" width="0" style="4" hidden="1" customWidth="1"/>
    <col min="13270" max="13270" width="12.7109375" style="4" customWidth="1"/>
    <col min="13271" max="13271" width="8.28515625" style="4" customWidth="1"/>
    <col min="13272" max="13272" width="14.42578125" style="4" customWidth="1"/>
    <col min="13273" max="13273" width="7.28515625" style="4" customWidth="1"/>
    <col min="13274" max="13274" width="9.5703125" style="4" customWidth="1"/>
    <col min="13275" max="13275" width="17" style="4" customWidth="1"/>
    <col min="13276" max="13276" width="0" style="4" hidden="1" customWidth="1"/>
    <col min="13277" max="13277" width="15.140625" style="4" customWidth="1"/>
    <col min="13278" max="13278" width="13.85546875" style="4" customWidth="1"/>
    <col min="13279" max="13279" width="4.42578125" style="4" customWidth="1"/>
    <col min="13280" max="13280" width="12.28515625" style="4" customWidth="1"/>
    <col min="13281" max="13281" width="6" style="4" customWidth="1"/>
    <col min="13282" max="13282" width="19.85546875" style="4" customWidth="1"/>
    <col min="13283" max="13283" width="5.140625" style="4" customWidth="1"/>
    <col min="13284" max="13284" width="17.28515625" style="4" bestFit="1" customWidth="1"/>
    <col min="13285" max="13286" width="0" style="4" hidden="1" customWidth="1"/>
    <col min="13287" max="13287" width="5.85546875" style="4" customWidth="1"/>
    <col min="13288" max="13288" width="10.28515625" style="4" customWidth="1"/>
    <col min="13289" max="13289" width="15.42578125" style="4" customWidth="1"/>
    <col min="13290" max="13290" width="11.85546875" style="4" customWidth="1"/>
    <col min="13291" max="13291" width="16.42578125" style="4" customWidth="1"/>
    <col min="13292" max="13292" width="17.28515625" style="4" customWidth="1"/>
    <col min="13293" max="13293" width="19" style="4" bestFit="1" customWidth="1"/>
    <col min="13294" max="13294" width="20" style="4" customWidth="1"/>
    <col min="13295" max="13295" width="18.7109375" style="4" bestFit="1" customWidth="1"/>
    <col min="13296" max="13296" width="17.85546875" style="4" bestFit="1" customWidth="1"/>
    <col min="13297" max="13297" width="16.42578125" style="4" bestFit="1" customWidth="1"/>
    <col min="13298" max="13312" width="9.140625" style="4"/>
    <col min="13313" max="13313" width="6.85546875" style="4" customWidth="1"/>
    <col min="13314" max="13314" width="54.85546875" style="4" customWidth="1"/>
    <col min="13315" max="13315" width="0" style="4" hidden="1" customWidth="1"/>
    <col min="13316" max="13316" width="12.7109375" style="4" customWidth="1"/>
    <col min="13317" max="13317" width="13.85546875" style="4" customWidth="1"/>
    <col min="13318" max="13318" width="19.42578125" style="4" customWidth="1"/>
    <col min="13319" max="13319" width="9.28515625" style="4" customWidth="1"/>
    <col min="13320" max="13320" width="11.85546875" style="4" customWidth="1"/>
    <col min="13321" max="13321" width="16.42578125" style="4" customWidth="1"/>
    <col min="13322" max="13322" width="0" style="4" hidden="1" customWidth="1"/>
    <col min="13323" max="13323" width="16.5703125" style="4" customWidth="1"/>
    <col min="13324" max="13325" width="0" style="4" hidden="1" customWidth="1"/>
    <col min="13326" max="13327" width="16.5703125" style="4" customWidth="1"/>
    <col min="13328" max="13328" width="5.140625" style="4" customWidth="1"/>
    <col min="13329" max="13329" width="16.5703125" style="4" customWidth="1"/>
    <col min="13330" max="13330" width="5.140625" style="4" customWidth="1"/>
    <col min="13331" max="13331" width="16.5703125" style="4" customWidth="1"/>
    <col min="13332" max="13332" width="5.140625" style="4" customWidth="1"/>
    <col min="13333" max="13333" width="16.5703125" style="4" customWidth="1"/>
    <col min="13334" max="13334" width="5.140625" style="4" customWidth="1"/>
    <col min="13335" max="13335" width="15.28515625" style="4" customWidth="1"/>
    <col min="13336" max="13336" width="4.7109375" style="4" customWidth="1"/>
    <col min="13337" max="13337" width="0" style="4" hidden="1" customWidth="1"/>
    <col min="13338" max="13338" width="6.5703125" style="4" customWidth="1"/>
    <col min="13339" max="13339" width="10.5703125" style="4" customWidth="1"/>
    <col min="13340" max="13340" width="17.42578125" style="4" customWidth="1"/>
    <col min="13341" max="13341" width="7.7109375" style="4" customWidth="1"/>
    <col min="13342" max="13342" width="15.42578125" style="4" customWidth="1"/>
    <col min="13343" max="13343" width="16.42578125" style="4" customWidth="1"/>
    <col min="13344" max="13344" width="17.28515625" style="4" customWidth="1"/>
    <col min="13345" max="13345" width="0" style="4" hidden="1" customWidth="1"/>
    <col min="13346" max="13346" width="19" style="4" customWidth="1"/>
    <col min="13347" max="13349" width="26" style="4" customWidth="1"/>
    <col min="13350" max="13350" width="35.42578125" style="4" customWidth="1"/>
    <col min="13351" max="13351" width="27.5703125" style="4" customWidth="1"/>
    <col min="13352" max="13352" width="9.140625" style="4" customWidth="1"/>
    <col min="13353" max="13353" width="26.7109375" style="4" customWidth="1"/>
    <col min="13354" max="13354" width="17.28515625" style="4" customWidth="1"/>
    <col min="13355" max="13520" width="9.140625" style="4" customWidth="1"/>
    <col min="13521" max="13522" width="3" style="4" customWidth="1"/>
    <col min="13523" max="13523" width="4.42578125" style="4" bestFit="1" customWidth="1"/>
    <col min="13524" max="13524" width="59.140625" style="4" customWidth="1"/>
    <col min="13525" max="13525" width="0" style="4" hidden="1" customWidth="1"/>
    <col min="13526" max="13526" width="12.7109375" style="4" customWidth="1"/>
    <col min="13527" max="13527" width="8.28515625" style="4" customWidth="1"/>
    <col min="13528" max="13528" width="14.42578125" style="4" customWidth="1"/>
    <col min="13529" max="13529" width="7.28515625" style="4" customWidth="1"/>
    <col min="13530" max="13530" width="9.5703125" style="4" customWidth="1"/>
    <col min="13531" max="13531" width="17" style="4" customWidth="1"/>
    <col min="13532" max="13532" width="0" style="4" hidden="1" customWidth="1"/>
    <col min="13533" max="13533" width="15.140625" style="4" customWidth="1"/>
    <col min="13534" max="13534" width="13.85546875" style="4" customWidth="1"/>
    <col min="13535" max="13535" width="4.42578125" style="4" customWidth="1"/>
    <col min="13536" max="13536" width="12.28515625" style="4" customWidth="1"/>
    <col min="13537" max="13537" width="6" style="4" customWidth="1"/>
    <col min="13538" max="13538" width="19.85546875" style="4" customWidth="1"/>
    <col min="13539" max="13539" width="5.140625" style="4" customWidth="1"/>
    <col min="13540" max="13540" width="17.28515625" style="4" bestFit="1" customWidth="1"/>
    <col min="13541" max="13542" width="0" style="4" hidden="1" customWidth="1"/>
    <col min="13543" max="13543" width="5.85546875" style="4" customWidth="1"/>
    <col min="13544" max="13544" width="10.28515625" style="4" customWidth="1"/>
    <col min="13545" max="13545" width="15.42578125" style="4" customWidth="1"/>
    <col min="13546" max="13546" width="11.85546875" style="4" customWidth="1"/>
    <col min="13547" max="13547" width="16.42578125" style="4" customWidth="1"/>
    <col min="13548" max="13548" width="17.28515625" style="4" customWidth="1"/>
    <col min="13549" max="13549" width="19" style="4" bestFit="1" customWidth="1"/>
    <col min="13550" max="13550" width="20" style="4" customWidth="1"/>
    <col min="13551" max="13551" width="18.7109375" style="4" bestFit="1" customWidth="1"/>
    <col min="13552" max="13552" width="17.85546875" style="4" bestFit="1" customWidth="1"/>
    <col min="13553" max="13553" width="16.42578125" style="4" bestFit="1" customWidth="1"/>
    <col min="13554" max="13568" width="9.140625" style="4"/>
    <col min="13569" max="13569" width="6.85546875" style="4" customWidth="1"/>
    <col min="13570" max="13570" width="54.85546875" style="4" customWidth="1"/>
    <col min="13571" max="13571" width="0" style="4" hidden="1" customWidth="1"/>
    <col min="13572" max="13572" width="12.7109375" style="4" customWidth="1"/>
    <col min="13573" max="13573" width="13.85546875" style="4" customWidth="1"/>
    <col min="13574" max="13574" width="19.42578125" style="4" customWidth="1"/>
    <col min="13575" max="13575" width="9.28515625" style="4" customWidth="1"/>
    <col min="13576" max="13576" width="11.85546875" style="4" customWidth="1"/>
    <col min="13577" max="13577" width="16.42578125" style="4" customWidth="1"/>
    <col min="13578" max="13578" width="0" style="4" hidden="1" customWidth="1"/>
    <col min="13579" max="13579" width="16.5703125" style="4" customWidth="1"/>
    <col min="13580" max="13581" width="0" style="4" hidden="1" customWidth="1"/>
    <col min="13582" max="13583" width="16.5703125" style="4" customWidth="1"/>
    <col min="13584" max="13584" width="5.140625" style="4" customWidth="1"/>
    <col min="13585" max="13585" width="16.5703125" style="4" customWidth="1"/>
    <col min="13586" max="13586" width="5.140625" style="4" customWidth="1"/>
    <col min="13587" max="13587" width="16.5703125" style="4" customWidth="1"/>
    <col min="13588" max="13588" width="5.140625" style="4" customWidth="1"/>
    <col min="13589" max="13589" width="16.5703125" style="4" customWidth="1"/>
    <col min="13590" max="13590" width="5.140625" style="4" customWidth="1"/>
    <col min="13591" max="13591" width="15.28515625" style="4" customWidth="1"/>
    <col min="13592" max="13592" width="4.7109375" style="4" customWidth="1"/>
    <col min="13593" max="13593" width="0" style="4" hidden="1" customWidth="1"/>
    <col min="13594" max="13594" width="6.5703125" style="4" customWidth="1"/>
    <col min="13595" max="13595" width="10.5703125" style="4" customWidth="1"/>
    <col min="13596" max="13596" width="17.42578125" style="4" customWidth="1"/>
    <col min="13597" max="13597" width="7.7109375" style="4" customWidth="1"/>
    <col min="13598" max="13598" width="15.42578125" style="4" customWidth="1"/>
    <col min="13599" max="13599" width="16.42578125" style="4" customWidth="1"/>
    <col min="13600" max="13600" width="17.28515625" style="4" customWidth="1"/>
    <col min="13601" max="13601" width="0" style="4" hidden="1" customWidth="1"/>
    <col min="13602" max="13602" width="19" style="4" customWidth="1"/>
    <col min="13603" max="13605" width="26" style="4" customWidth="1"/>
    <col min="13606" max="13606" width="35.42578125" style="4" customWidth="1"/>
    <col min="13607" max="13607" width="27.5703125" style="4" customWidth="1"/>
    <col min="13608" max="13608" width="9.140625" style="4" customWidth="1"/>
    <col min="13609" max="13609" width="26.7109375" style="4" customWidth="1"/>
    <col min="13610" max="13610" width="17.28515625" style="4" customWidth="1"/>
    <col min="13611" max="13776" width="9.140625" style="4" customWidth="1"/>
    <col min="13777" max="13778" width="3" style="4" customWidth="1"/>
    <col min="13779" max="13779" width="4.42578125" style="4" bestFit="1" customWidth="1"/>
    <col min="13780" max="13780" width="59.140625" style="4" customWidth="1"/>
    <col min="13781" max="13781" width="0" style="4" hidden="1" customWidth="1"/>
    <col min="13782" max="13782" width="12.7109375" style="4" customWidth="1"/>
    <col min="13783" max="13783" width="8.28515625" style="4" customWidth="1"/>
    <col min="13784" max="13784" width="14.42578125" style="4" customWidth="1"/>
    <col min="13785" max="13785" width="7.28515625" style="4" customWidth="1"/>
    <col min="13786" max="13786" width="9.5703125" style="4" customWidth="1"/>
    <col min="13787" max="13787" width="17" style="4" customWidth="1"/>
    <col min="13788" max="13788" width="0" style="4" hidden="1" customWidth="1"/>
    <col min="13789" max="13789" width="15.140625" style="4" customWidth="1"/>
    <col min="13790" max="13790" width="13.85546875" style="4" customWidth="1"/>
    <col min="13791" max="13791" width="4.42578125" style="4" customWidth="1"/>
    <col min="13792" max="13792" width="12.28515625" style="4" customWidth="1"/>
    <col min="13793" max="13793" width="6" style="4" customWidth="1"/>
    <col min="13794" max="13794" width="19.85546875" style="4" customWidth="1"/>
    <col min="13795" max="13795" width="5.140625" style="4" customWidth="1"/>
    <col min="13796" max="13796" width="17.28515625" style="4" bestFit="1" customWidth="1"/>
    <col min="13797" max="13798" width="0" style="4" hidden="1" customWidth="1"/>
    <col min="13799" max="13799" width="5.85546875" style="4" customWidth="1"/>
    <col min="13800" max="13800" width="10.28515625" style="4" customWidth="1"/>
    <col min="13801" max="13801" width="15.42578125" style="4" customWidth="1"/>
    <col min="13802" max="13802" width="11.85546875" style="4" customWidth="1"/>
    <col min="13803" max="13803" width="16.42578125" style="4" customWidth="1"/>
    <col min="13804" max="13804" width="17.28515625" style="4" customWidth="1"/>
    <col min="13805" max="13805" width="19" style="4" bestFit="1" customWidth="1"/>
    <col min="13806" max="13806" width="20" style="4" customWidth="1"/>
    <col min="13807" max="13807" width="18.7109375" style="4" bestFit="1" customWidth="1"/>
    <col min="13808" max="13808" width="17.85546875" style="4" bestFit="1" customWidth="1"/>
    <col min="13809" max="13809" width="16.42578125" style="4" bestFit="1" customWidth="1"/>
    <col min="13810" max="13824" width="9.140625" style="4"/>
    <col min="13825" max="13825" width="6.85546875" style="4" customWidth="1"/>
    <col min="13826" max="13826" width="54.85546875" style="4" customWidth="1"/>
    <col min="13827" max="13827" width="0" style="4" hidden="1" customWidth="1"/>
    <col min="13828" max="13828" width="12.7109375" style="4" customWidth="1"/>
    <col min="13829" max="13829" width="13.85546875" style="4" customWidth="1"/>
    <col min="13830" max="13830" width="19.42578125" style="4" customWidth="1"/>
    <col min="13831" max="13831" width="9.28515625" style="4" customWidth="1"/>
    <col min="13832" max="13832" width="11.85546875" style="4" customWidth="1"/>
    <col min="13833" max="13833" width="16.42578125" style="4" customWidth="1"/>
    <col min="13834" max="13834" width="0" style="4" hidden="1" customWidth="1"/>
    <col min="13835" max="13835" width="16.5703125" style="4" customWidth="1"/>
    <col min="13836" max="13837" width="0" style="4" hidden="1" customWidth="1"/>
    <col min="13838" max="13839" width="16.5703125" style="4" customWidth="1"/>
    <col min="13840" max="13840" width="5.140625" style="4" customWidth="1"/>
    <col min="13841" max="13841" width="16.5703125" style="4" customWidth="1"/>
    <col min="13842" max="13842" width="5.140625" style="4" customWidth="1"/>
    <col min="13843" max="13843" width="16.5703125" style="4" customWidth="1"/>
    <col min="13844" max="13844" width="5.140625" style="4" customWidth="1"/>
    <col min="13845" max="13845" width="16.5703125" style="4" customWidth="1"/>
    <col min="13846" max="13846" width="5.140625" style="4" customWidth="1"/>
    <col min="13847" max="13847" width="15.28515625" style="4" customWidth="1"/>
    <col min="13848" max="13848" width="4.7109375" style="4" customWidth="1"/>
    <col min="13849" max="13849" width="0" style="4" hidden="1" customWidth="1"/>
    <col min="13850" max="13850" width="6.5703125" style="4" customWidth="1"/>
    <col min="13851" max="13851" width="10.5703125" style="4" customWidth="1"/>
    <col min="13852" max="13852" width="17.42578125" style="4" customWidth="1"/>
    <col min="13853" max="13853" width="7.7109375" style="4" customWidth="1"/>
    <col min="13854" max="13854" width="15.42578125" style="4" customWidth="1"/>
    <col min="13855" max="13855" width="16.42578125" style="4" customWidth="1"/>
    <col min="13856" max="13856" width="17.28515625" style="4" customWidth="1"/>
    <col min="13857" max="13857" width="0" style="4" hidden="1" customWidth="1"/>
    <col min="13858" max="13858" width="19" style="4" customWidth="1"/>
    <col min="13859" max="13861" width="26" style="4" customWidth="1"/>
    <col min="13862" max="13862" width="35.42578125" style="4" customWidth="1"/>
    <col min="13863" max="13863" width="27.5703125" style="4" customWidth="1"/>
    <col min="13864" max="13864" width="9.140625" style="4" customWidth="1"/>
    <col min="13865" max="13865" width="26.7109375" style="4" customWidth="1"/>
    <col min="13866" max="13866" width="17.28515625" style="4" customWidth="1"/>
    <col min="13867" max="14032" width="9.140625" style="4" customWidth="1"/>
    <col min="14033" max="14034" width="3" style="4" customWidth="1"/>
    <col min="14035" max="14035" width="4.42578125" style="4" bestFit="1" customWidth="1"/>
    <col min="14036" max="14036" width="59.140625" style="4" customWidth="1"/>
    <col min="14037" max="14037" width="0" style="4" hidden="1" customWidth="1"/>
    <col min="14038" max="14038" width="12.7109375" style="4" customWidth="1"/>
    <col min="14039" max="14039" width="8.28515625" style="4" customWidth="1"/>
    <col min="14040" max="14040" width="14.42578125" style="4" customWidth="1"/>
    <col min="14041" max="14041" width="7.28515625" style="4" customWidth="1"/>
    <col min="14042" max="14042" width="9.5703125" style="4" customWidth="1"/>
    <col min="14043" max="14043" width="17" style="4" customWidth="1"/>
    <col min="14044" max="14044" width="0" style="4" hidden="1" customWidth="1"/>
    <col min="14045" max="14045" width="15.140625" style="4" customWidth="1"/>
    <col min="14046" max="14046" width="13.85546875" style="4" customWidth="1"/>
    <col min="14047" max="14047" width="4.42578125" style="4" customWidth="1"/>
    <col min="14048" max="14048" width="12.28515625" style="4" customWidth="1"/>
    <col min="14049" max="14049" width="6" style="4" customWidth="1"/>
    <col min="14050" max="14050" width="19.85546875" style="4" customWidth="1"/>
    <col min="14051" max="14051" width="5.140625" style="4" customWidth="1"/>
    <col min="14052" max="14052" width="17.28515625" style="4" bestFit="1" customWidth="1"/>
    <col min="14053" max="14054" width="0" style="4" hidden="1" customWidth="1"/>
    <col min="14055" max="14055" width="5.85546875" style="4" customWidth="1"/>
    <col min="14056" max="14056" width="10.28515625" style="4" customWidth="1"/>
    <col min="14057" max="14057" width="15.42578125" style="4" customWidth="1"/>
    <col min="14058" max="14058" width="11.85546875" style="4" customWidth="1"/>
    <col min="14059" max="14059" width="16.42578125" style="4" customWidth="1"/>
    <col min="14060" max="14060" width="17.28515625" style="4" customWidth="1"/>
    <col min="14061" max="14061" width="19" style="4" bestFit="1" customWidth="1"/>
    <col min="14062" max="14062" width="20" style="4" customWidth="1"/>
    <col min="14063" max="14063" width="18.7109375" style="4" bestFit="1" customWidth="1"/>
    <col min="14064" max="14064" width="17.85546875" style="4" bestFit="1" customWidth="1"/>
    <col min="14065" max="14065" width="16.42578125" style="4" bestFit="1" customWidth="1"/>
    <col min="14066" max="14080" width="9.140625" style="4"/>
    <col min="14081" max="14081" width="6.85546875" style="4" customWidth="1"/>
    <col min="14082" max="14082" width="54.85546875" style="4" customWidth="1"/>
    <col min="14083" max="14083" width="0" style="4" hidden="1" customWidth="1"/>
    <col min="14084" max="14084" width="12.7109375" style="4" customWidth="1"/>
    <col min="14085" max="14085" width="13.85546875" style="4" customWidth="1"/>
    <col min="14086" max="14086" width="19.42578125" style="4" customWidth="1"/>
    <col min="14087" max="14087" width="9.28515625" style="4" customWidth="1"/>
    <col min="14088" max="14088" width="11.85546875" style="4" customWidth="1"/>
    <col min="14089" max="14089" width="16.42578125" style="4" customWidth="1"/>
    <col min="14090" max="14090" width="0" style="4" hidden="1" customWidth="1"/>
    <col min="14091" max="14091" width="16.5703125" style="4" customWidth="1"/>
    <col min="14092" max="14093" width="0" style="4" hidden="1" customWidth="1"/>
    <col min="14094" max="14095" width="16.5703125" style="4" customWidth="1"/>
    <col min="14096" max="14096" width="5.140625" style="4" customWidth="1"/>
    <col min="14097" max="14097" width="16.5703125" style="4" customWidth="1"/>
    <col min="14098" max="14098" width="5.140625" style="4" customWidth="1"/>
    <col min="14099" max="14099" width="16.5703125" style="4" customWidth="1"/>
    <col min="14100" max="14100" width="5.140625" style="4" customWidth="1"/>
    <col min="14101" max="14101" width="16.5703125" style="4" customWidth="1"/>
    <col min="14102" max="14102" width="5.140625" style="4" customWidth="1"/>
    <col min="14103" max="14103" width="15.28515625" style="4" customWidth="1"/>
    <col min="14104" max="14104" width="4.7109375" style="4" customWidth="1"/>
    <col min="14105" max="14105" width="0" style="4" hidden="1" customWidth="1"/>
    <col min="14106" max="14106" width="6.5703125" style="4" customWidth="1"/>
    <col min="14107" max="14107" width="10.5703125" style="4" customWidth="1"/>
    <col min="14108" max="14108" width="17.42578125" style="4" customWidth="1"/>
    <col min="14109" max="14109" width="7.7109375" style="4" customWidth="1"/>
    <col min="14110" max="14110" width="15.42578125" style="4" customWidth="1"/>
    <col min="14111" max="14111" width="16.42578125" style="4" customWidth="1"/>
    <col min="14112" max="14112" width="17.28515625" style="4" customWidth="1"/>
    <col min="14113" max="14113" width="0" style="4" hidden="1" customWidth="1"/>
    <col min="14114" max="14114" width="19" style="4" customWidth="1"/>
    <col min="14115" max="14117" width="26" style="4" customWidth="1"/>
    <col min="14118" max="14118" width="35.42578125" style="4" customWidth="1"/>
    <col min="14119" max="14119" width="27.5703125" style="4" customWidth="1"/>
    <col min="14120" max="14120" width="9.140625" style="4" customWidth="1"/>
    <col min="14121" max="14121" width="26.7109375" style="4" customWidth="1"/>
    <col min="14122" max="14122" width="17.28515625" style="4" customWidth="1"/>
    <col min="14123" max="14288" width="9.140625" style="4" customWidth="1"/>
    <col min="14289" max="14290" width="3" style="4" customWidth="1"/>
    <col min="14291" max="14291" width="4.42578125" style="4" bestFit="1" customWidth="1"/>
    <col min="14292" max="14292" width="59.140625" style="4" customWidth="1"/>
    <col min="14293" max="14293" width="0" style="4" hidden="1" customWidth="1"/>
    <col min="14294" max="14294" width="12.7109375" style="4" customWidth="1"/>
    <col min="14295" max="14295" width="8.28515625" style="4" customWidth="1"/>
    <col min="14296" max="14296" width="14.42578125" style="4" customWidth="1"/>
    <col min="14297" max="14297" width="7.28515625" style="4" customWidth="1"/>
    <col min="14298" max="14298" width="9.5703125" style="4" customWidth="1"/>
    <col min="14299" max="14299" width="17" style="4" customWidth="1"/>
    <col min="14300" max="14300" width="0" style="4" hidden="1" customWidth="1"/>
    <col min="14301" max="14301" width="15.140625" style="4" customWidth="1"/>
    <col min="14302" max="14302" width="13.85546875" style="4" customWidth="1"/>
    <col min="14303" max="14303" width="4.42578125" style="4" customWidth="1"/>
    <col min="14304" max="14304" width="12.28515625" style="4" customWidth="1"/>
    <col min="14305" max="14305" width="6" style="4" customWidth="1"/>
    <col min="14306" max="14306" width="19.85546875" style="4" customWidth="1"/>
    <col min="14307" max="14307" width="5.140625" style="4" customWidth="1"/>
    <col min="14308" max="14308" width="17.28515625" style="4" bestFit="1" customWidth="1"/>
    <col min="14309" max="14310" width="0" style="4" hidden="1" customWidth="1"/>
    <col min="14311" max="14311" width="5.85546875" style="4" customWidth="1"/>
    <col min="14312" max="14312" width="10.28515625" style="4" customWidth="1"/>
    <col min="14313" max="14313" width="15.42578125" style="4" customWidth="1"/>
    <col min="14314" max="14314" width="11.85546875" style="4" customWidth="1"/>
    <col min="14315" max="14315" width="16.42578125" style="4" customWidth="1"/>
    <col min="14316" max="14316" width="17.28515625" style="4" customWidth="1"/>
    <col min="14317" max="14317" width="19" style="4" bestFit="1" customWidth="1"/>
    <col min="14318" max="14318" width="20" style="4" customWidth="1"/>
    <col min="14319" max="14319" width="18.7109375" style="4" bestFit="1" customWidth="1"/>
    <col min="14320" max="14320" width="17.85546875" style="4" bestFit="1" customWidth="1"/>
    <col min="14321" max="14321" width="16.42578125" style="4" bestFit="1" customWidth="1"/>
    <col min="14322" max="14336" width="9.140625" style="4"/>
    <col min="14337" max="14337" width="6.85546875" style="4" customWidth="1"/>
    <col min="14338" max="14338" width="54.85546875" style="4" customWidth="1"/>
    <col min="14339" max="14339" width="0" style="4" hidden="1" customWidth="1"/>
    <col min="14340" max="14340" width="12.7109375" style="4" customWidth="1"/>
    <col min="14341" max="14341" width="13.85546875" style="4" customWidth="1"/>
    <col min="14342" max="14342" width="19.42578125" style="4" customWidth="1"/>
    <col min="14343" max="14343" width="9.28515625" style="4" customWidth="1"/>
    <col min="14344" max="14344" width="11.85546875" style="4" customWidth="1"/>
    <col min="14345" max="14345" width="16.42578125" style="4" customWidth="1"/>
    <col min="14346" max="14346" width="0" style="4" hidden="1" customWidth="1"/>
    <col min="14347" max="14347" width="16.5703125" style="4" customWidth="1"/>
    <col min="14348" max="14349" width="0" style="4" hidden="1" customWidth="1"/>
    <col min="14350" max="14351" width="16.5703125" style="4" customWidth="1"/>
    <col min="14352" max="14352" width="5.140625" style="4" customWidth="1"/>
    <col min="14353" max="14353" width="16.5703125" style="4" customWidth="1"/>
    <col min="14354" max="14354" width="5.140625" style="4" customWidth="1"/>
    <col min="14355" max="14355" width="16.5703125" style="4" customWidth="1"/>
    <col min="14356" max="14356" width="5.140625" style="4" customWidth="1"/>
    <col min="14357" max="14357" width="16.5703125" style="4" customWidth="1"/>
    <col min="14358" max="14358" width="5.140625" style="4" customWidth="1"/>
    <col min="14359" max="14359" width="15.28515625" style="4" customWidth="1"/>
    <col min="14360" max="14360" width="4.7109375" style="4" customWidth="1"/>
    <col min="14361" max="14361" width="0" style="4" hidden="1" customWidth="1"/>
    <col min="14362" max="14362" width="6.5703125" style="4" customWidth="1"/>
    <col min="14363" max="14363" width="10.5703125" style="4" customWidth="1"/>
    <col min="14364" max="14364" width="17.42578125" style="4" customWidth="1"/>
    <col min="14365" max="14365" width="7.7109375" style="4" customWidth="1"/>
    <col min="14366" max="14366" width="15.42578125" style="4" customWidth="1"/>
    <col min="14367" max="14367" width="16.42578125" style="4" customWidth="1"/>
    <col min="14368" max="14368" width="17.28515625" style="4" customWidth="1"/>
    <col min="14369" max="14369" width="0" style="4" hidden="1" customWidth="1"/>
    <col min="14370" max="14370" width="19" style="4" customWidth="1"/>
    <col min="14371" max="14373" width="26" style="4" customWidth="1"/>
    <col min="14374" max="14374" width="35.42578125" style="4" customWidth="1"/>
    <col min="14375" max="14375" width="27.5703125" style="4" customWidth="1"/>
    <col min="14376" max="14376" width="9.140625" style="4" customWidth="1"/>
    <col min="14377" max="14377" width="26.7109375" style="4" customWidth="1"/>
    <col min="14378" max="14378" width="17.28515625" style="4" customWidth="1"/>
    <col min="14379" max="14544" width="9.140625" style="4" customWidth="1"/>
    <col min="14545" max="14546" width="3" style="4" customWidth="1"/>
    <col min="14547" max="14547" width="4.42578125" style="4" bestFit="1" customWidth="1"/>
    <col min="14548" max="14548" width="59.140625" style="4" customWidth="1"/>
    <col min="14549" max="14549" width="0" style="4" hidden="1" customWidth="1"/>
    <col min="14550" max="14550" width="12.7109375" style="4" customWidth="1"/>
    <col min="14551" max="14551" width="8.28515625" style="4" customWidth="1"/>
    <col min="14552" max="14552" width="14.42578125" style="4" customWidth="1"/>
    <col min="14553" max="14553" width="7.28515625" style="4" customWidth="1"/>
    <col min="14554" max="14554" width="9.5703125" style="4" customWidth="1"/>
    <col min="14555" max="14555" width="17" style="4" customWidth="1"/>
    <col min="14556" max="14556" width="0" style="4" hidden="1" customWidth="1"/>
    <col min="14557" max="14557" width="15.140625" style="4" customWidth="1"/>
    <col min="14558" max="14558" width="13.85546875" style="4" customWidth="1"/>
    <col min="14559" max="14559" width="4.42578125" style="4" customWidth="1"/>
    <col min="14560" max="14560" width="12.28515625" style="4" customWidth="1"/>
    <col min="14561" max="14561" width="6" style="4" customWidth="1"/>
    <col min="14562" max="14562" width="19.85546875" style="4" customWidth="1"/>
    <col min="14563" max="14563" width="5.140625" style="4" customWidth="1"/>
    <col min="14564" max="14564" width="17.28515625" style="4" bestFit="1" customWidth="1"/>
    <col min="14565" max="14566" width="0" style="4" hidden="1" customWidth="1"/>
    <col min="14567" max="14567" width="5.85546875" style="4" customWidth="1"/>
    <col min="14568" max="14568" width="10.28515625" style="4" customWidth="1"/>
    <col min="14569" max="14569" width="15.42578125" style="4" customWidth="1"/>
    <col min="14570" max="14570" width="11.85546875" style="4" customWidth="1"/>
    <col min="14571" max="14571" width="16.42578125" style="4" customWidth="1"/>
    <col min="14572" max="14572" width="17.28515625" style="4" customWidth="1"/>
    <col min="14573" max="14573" width="19" style="4" bestFit="1" customWidth="1"/>
    <col min="14574" max="14574" width="20" style="4" customWidth="1"/>
    <col min="14575" max="14575" width="18.7109375" style="4" bestFit="1" customWidth="1"/>
    <col min="14576" max="14576" width="17.85546875" style="4" bestFit="1" customWidth="1"/>
    <col min="14577" max="14577" width="16.42578125" style="4" bestFit="1" customWidth="1"/>
    <col min="14578" max="14592" width="9.140625" style="4"/>
    <col min="14593" max="14593" width="6.85546875" style="4" customWidth="1"/>
    <col min="14594" max="14594" width="54.85546875" style="4" customWidth="1"/>
    <col min="14595" max="14595" width="0" style="4" hidden="1" customWidth="1"/>
    <col min="14596" max="14596" width="12.7109375" style="4" customWidth="1"/>
    <col min="14597" max="14597" width="13.85546875" style="4" customWidth="1"/>
    <col min="14598" max="14598" width="19.42578125" style="4" customWidth="1"/>
    <col min="14599" max="14599" width="9.28515625" style="4" customWidth="1"/>
    <col min="14600" max="14600" width="11.85546875" style="4" customWidth="1"/>
    <col min="14601" max="14601" width="16.42578125" style="4" customWidth="1"/>
    <col min="14602" max="14602" width="0" style="4" hidden="1" customWidth="1"/>
    <col min="14603" max="14603" width="16.5703125" style="4" customWidth="1"/>
    <col min="14604" max="14605" width="0" style="4" hidden="1" customWidth="1"/>
    <col min="14606" max="14607" width="16.5703125" style="4" customWidth="1"/>
    <col min="14608" max="14608" width="5.140625" style="4" customWidth="1"/>
    <col min="14609" max="14609" width="16.5703125" style="4" customWidth="1"/>
    <col min="14610" max="14610" width="5.140625" style="4" customWidth="1"/>
    <col min="14611" max="14611" width="16.5703125" style="4" customWidth="1"/>
    <col min="14612" max="14612" width="5.140625" style="4" customWidth="1"/>
    <col min="14613" max="14613" width="16.5703125" style="4" customWidth="1"/>
    <col min="14614" max="14614" width="5.140625" style="4" customWidth="1"/>
    <col min="14615" max="14615" width="15.28515625" style="4" customWidth="1"/>
    <col min="14616" max="14616" width="4.7109375" style="4" customWidth="1"/>
    <col min="14617" max="14617" width="0" style="4" hidden="1" customWidth="1"/>
    <col min="14618" max="14618" width="6.5703125" style="4" customWidth="1"/>
    <col min="14619" max="14619" width="10.5703125" style="4" customWidth="1"/>
    <col min="14620" max="14620" width="17.42578125" style="4" customWidth="1"/>
    <col min="14621" max="14621" width="7.7109375" style="4" customWidth="1"/>
    <col min="14622" max="14622" width="15.42578125" style="4" customWidth="1"/>
    <col min="14623" max="14623" width="16.42578125" style="4" customWidth="1"/>
    <col min="14624" max="14624" width="17.28515625" style="4" customWidth="1"/>
    <col min="14625" max="14625" width="0" style="4" hidden="1" customWidth="1"/>
    <col min="14626" max="14626" width="19" style="4" customWidth="1"/>
    <col min="14627" max="14629" width="26" style="4" customWidth="1"/>
    <col min="14630" max="14630" width="35.42578125" style="4" customWidth="1"/>
    <col min="14631" max="14631" width="27.5703125" style="4" customWidth="1"/>
    <col min="14632" max="14632" width="9.140625" style="4" customWidth="1"/>
    <col min="14633" max="14633" width="26.7109375" style="4" customWidth="1"/>
    <col min="14634" max="14634" width="17.28515625" style="4" customWidth="1"/>
    <col min="14635" max="14800" width="9.140625" style="4" customWidth="1"/>
    <col min="14801" max="14802" width="3" style="4" customWidth="1"/>
    <col min="14803" max="14803" width="4.42578125" style="4" bestFit="1" customWidth="1"/>
    <col min="14804" max="14804" width="59.140625" style="4" customWidth="1"/>
    <col min="14805" max="14805" width="0" style="4" hidden="1" customWidth="1"/>
    <col min="14806" max="14806" width="12.7109375" style="4" customWidth="1"/>
    <col min="14807" max="14807" width="8.28515625" style="4" customWidth="1"/>
    <col min="14808" max="14808" width="14.42578125" style="4" customWidth="1"/>
    <col min="14809" max="14809" width="7.28515625" style="4" customWidth="1"/>
    <col min="14810" max="14810" width="9.5703125" style="4" customWidth="1"/>
    <col min="14811" max="14811" width="17" style="4" customWidth="1"/>
    <col min="14812" max="14812" width="0" style="4" hidden="1" customWidth="1"/>
    <col min="14813" max="14813" width="15.140625" style="4" customWidth="1"/>
    <col min="14814" max="14814" width="13.85546875" style="4" customWidth="1"/>
    <col min="14815" max="14815" width="4.42578125" style="4" customWidth="1"/>
    <col min="14816" max="14816" width="12.28515625" style="4" customWidth="1"/>
    <col min="14817" max="14817" width="6" style="4" customWidth="1"/>
    <col min="14818" max="14818" width="19.85546875" style="4" customWidth="1"/>
    <col min="14819" max="14819" width="5.140625" style="4" customWidth="1"/>
    <col min="14820" max="14820" width="17.28515625" style="4" bestFit="1" customWidth="1"/>
    <col min="14821" max="14822" width="0" style="4" hidden="1" customWidth="1"/>
    <col min="14823" max="14823" width="5.85546875" style="4" customWidth="1"/>
    <col min="14824" max="14824" width="10.28515625" style="4" customWidth="1"/>
    <col min="14825" max="14825" width="15.42578125" style="4" customWidth="1"/>
    <col min="14826" max="14826" width="11.85546875" style="4" customWidth="1"/>
    <col min="14827" max="14827" width="16.42578125" style="4" customWidth="1"/>
    <col min="14828" max="14828" width="17.28515625" style="4" customWidth="1"/>
    <col min="14829" max="14829" width="19" style="4" bestFit="1" customWidth="1"/>
    <col min="14830" max="14830" width="20" style="4" customWidth="1"/>
    <col min="14831" max="14831" width="18.7109375" style="4" bestFit="1" customWidth="1"/>
    <col min="14832" max="14832" width="17.85546875" style="4" bestFit="1" customWidth="1"/>
    <col min="14833" max="14833" width="16.42578125" style="4" bestFit="1" customWidth="1"/>
    <col min="14834" max="14848" width="9.140625" style="4"/>
    <col min="14849" max="14849" width="6.85546875" style="4" customWidth="1"/>
    <col min="14850" max="14850" width="54.85546875" style="4" customWidth="1"/>
    <col min="14851" max="14851" width="0" style="4" hidden="1" customWidth="1"/>
    <col min="14852" max="14852" width="12.7109375" style="4" customWidth="1"/>
    <col min="14853" max="14853" width="13.85546875" style="4" customWidth="1"/>
    <col min="14854" max="14854" width="19.42578125" style="4" customWidth="1"/>
    <col min="14855" max="14855" width="9.28515625" style="4" customWidth="1"/>
    <col min="14856" max="14856" width="11.85546875" style="4" customWidth="1"/>
    <col min="14857" max="14857" width="16.42578125" style="4" customWidth="1"/>
    <col min="14858" max="14858" width="0" style="4" hidden="1" customWidth="1"/>
    <col min="14859" max="14859" width="16.5703125" style="4" customWidth="1"/>
    <col min="14860" max="14861" width="0" style="4" hidden="1" customWidth="1"/>
    <col min="14862" max="14863" width="16.5703125" style="4" customWidth="1"/>
    <col min="14864" max="14864" width="5.140625" style="4" customWidth="1"/>
    <col min="14865" max="14865" width="16.5703125" style="4" customWidth="1"/>
    <col min="14866" max="14866" width="5.140625" style="4" customWidth="1"/>
    <col min="14867" max="14867" width="16.5703125" style="4" customWidth="1"/>
    <col min="14868" max="14868" width="5.140625" style="4" customWidth="1"/>
    <col min="14869" max="14869" width="16.5703125" style="4" customWidth="1"/>
    <col min="14870" max="14870" width="5.140625" style="4" customWidth="1"/>
    <col min="14871" max="14871" width="15.28515625" style="4" customWidth="1"/>
    <col min="14872" max="14872" width="4.7109375" style="4" customWidth="1"/>
    <col min="14873" max="14873" width="0" style="4" hidden="1" customWidth="1"/>
    <col min="14874" max="14874" width="6.5703125" style="4" customWidth="1"/>
    <col min="14875" max="14875" width="10.5703125" style="4" customWidth="1"/>
    <col min="14876" max="14876" width="17.42578125" style="4" customWidth="1"/>
    <col min="14877" max="14877" width="7.7109375" style="4" customWidth="1"/>
    <col min="14878" max="14878" width="15.42578125" style="4" customWidth="1"/>
    <col min="14879" max="14879" width="16.42578125" style="4" customWidth="1"/>
    <col min="14880" max="14880" width="17.28515625" style="4" customWidth="1"/>
    <col min="14881" max="14881" width="0" style="4" hidden="1" customWidth="1"/>
    <col min="14882" max="14882" width="19" style="4" customWidth="1"/>
    <col min="14883" max="14885" width="26" style="4" customWidth="1"/>
    <col min="14886" max="14886" width="35.42578125" style="4" customWidth="1"/>
    <col min="14887" max="14887" width="27.5703125" style="4" customWidth="1"/>
    <col min="14888" max="14888" width="9.140625" style="4" customWidth="1"/>
    <col min="14889" max="14889" width="26.7109375" style="4" customWidth="1"/>
    <col min="14890" max="14890" width="17.28515625" style="4" customWidth="1"/>
    <col min="14891" max="15056" width="9.140625" style="4" customWidth="1"/>
    <col min="15057" max="15058" width="3" style="4" customWidth="1"/>
    <col min="15059" max="15059" width="4.42578125" style="4" bestFit="1" customWidth="1"/>
    <col min="15060" max="15060" width="59.140625" style="4" customWidth="1"/>
    <col min="15061" max="15061" width="0" style="4" hidden="1" customWidth="1"/>
    <col min="15062" max="15062" width="12.7109375" style="4" customWidth="1"/>
    <col min="15063" max="15063" width="8.28515625" style="4" customWidth="1"/>
    <col min="15064" max="15064" width="14.42578125" style="4" customWidth="1"/>
    <col min="15065" max="15065" width="7.28515625" style="4" customWidth="1"/>
    <col min="15066" max="15066" width="9.5703125" style="4" customWidth="1"/>
    <col min="15067" max="15067" width="17" style="4" customWidth="1"/>
    <col min="15068" max="15068" width="0" style="4" hidden="1" customWidth="1"/>
    <col min="15069" max="15069" width="15.140625" style="4" customWidth="1"/>
    <col min="15070" max="15070" width="13.85546875" style="4" customWidth="1"/>
    <col min="15071" max="15071" width="4.42578125" style="4" customWidth="1"/>
    <col min="15072" max="15072" width="12.28515625" style="4" customWidth="1"/>
    <col min="15073" max="15073" width="6" style="4" customWidth="1"/>
    <col min="15074" max="15074" width="19.85546875" style="4" customWidth="1"/>
    <col min="15075" max="15075" width="5.140625" style="4" customWidth="1"/>
    <col min="15076" max="15076" width="17.28515625" style="4" bestFit="1" customWidth="1"/>
    <col min="15077" max="15078" width="0" style="4" hidden="1" customWidth="1"/>
    <col min="15079" max="15079" width="5.85546875" style="4" customWidth="1"/>
    <col min="15080" max="15080" width="10.28515625" style="4" customWidth="1"/>
    <col min="15081" max="15081" width="15.42578125" style="4" customWidth="1"/>
    <col min="15082" max="15082" width="11.85546875" style="4" customWidth="1"/>
    <col min="15083" max="15083" width="16.42578125" style="4" customWidth="1"/>
    <col min="15084" max="15084" width="17.28515625" style="4" customWidth="1"/>
    <col min="15085" max="15085" width="19" style="4" bestFit="1" customWidth="1"/>
    <col min="15086" max="15086" width="20" style="4" customWidth="1"/>
    <col min="15087" max="15087" width="18.7109375" style="4" bestFit="1" customWidth="1"/>
    <col min="15088" max="15088" width="17.85546875" style="4" bestFit="1" customWidth="1"/>
    <col min="15089" max="15089" width="16.42578125" style="4" bestFit="1" customWidth="1"/>
    <col min="15090" max="15104" width="9.140625" style="4"/>
    <col min="15105" max="15105" width="6.85546875" style="4" customWidth="1"/>
    <col min="15106" max="15106" width="54.85546875" style="4" customWidth="1"/>
    <col min="15107" max="15107" width="0" style="4" hidden="1" customWidth="1"/>
    <col min="15108" max="15108" width="12.7109375" style="4" customWidth="1"/>
    <col min="15109" max="15109" width="13.85546875" style="4" customWidth="1"/>
    <col min="15110" max="15110" width="19.42578125" style="4" customWidth="1"/>
    <col min="15111" max="15111" width="9.28515625" style="4" customWidth="1"/>
    <col min="15112" max="15112" width="11.85546875" style="4" customWidth="1"/>
    <col min="15113" max="15113" width="16.42578125" style="4" customWidth="1"/>
    <col min="15114" max="15114" width="0" style="4" hidden="1" customWidth="1"/>
    <col min="15115" max="15115" width="16.5703125" style="4" customWidth="1"/>
    <col min="15116" max="15117" width="0" style="4" hidden="1" customWidth="1"/>
    <col min="15118" max="15119" width="16.5703125" style="4" customWidth="1"/>
    <col min="15120" max="15120" width="5.140625" style="4" customWidth="1"/>
    <col min="15121" max="15121" width="16.5703125" style="4" customWidth="1"/>
    <col min="15122" max="15122" width="5.140625" style="4" customWidth="1"/>
    <col min="15123" max="15123" width="16.5703125" style="4" customWidth="1"/>
    <col min="15124" max="15124" width="5.140625" style="4" customWidth="1"/>
    <col min="15125" max="15125" width="16.5703125" style="4" customWidth="1"/>
    <col min="15126" max="15126" width="5.140625" style="4" customWidth="1"/>
    <col min="15127" max="15127" width="15.28515625" style="4" customWidth="1"/>
    <col min="15128" max="15128" width="4.7109375" style="4" customWidth="1"/>
    <col min="15129" max="15129" width="0" style="4" hidden="1" customWidth="1"/>
    <col min="15130" max="15130" width="6.5703125" style="4" customWidth="1"/>
    <col min="15131" max="15131" width="10.5703125" style="4" customWidth="1"/>
    <col min="15132" max="15132" width="17.42578125" style="4" customWidth="1"/>
    <col min="15133" max="15133" width="7.7109375" style="4" customWidth="1"/>
    <col min="15134" max="15134" width="15.42578125" style="4" customWidth="1"/>
    <col min="15135" max="15135" width="16.42578125" style="4" customWidth="1"/>
    <col min="15136" max="15136" width="17.28515625" style="4" customWidth="1"/>
    <col min="15137" max="15137" width="0" style="4" hidden="1" customWidth="1"/>
    <col min="15138" max="15138" width="19" style="4" customWidth="1"/>
    <col min="15139" max="15141" width="26" style="4" customWidth="1"/>
    <col min="15142" max="15142" width="35.42578125" style="4" customWidth="1"/>
    <col min="15143" max="15143" width="27.5703125" style="4" customWidth="1"/>
    <col min="15144" max="15144" width="9.140625" style="4" customWidth="1"/>
    <col min="15145" max="15145" width="26.7109375" style="4" customWidth="1"/>
    <col min="15146" max="15146" width="17.28515625" style="4" customWidth="1"/>
    <col min="15147" max="15312" width="9.140625" style="4" customWidth="1"/>
    <col min="15313" max="15314" width="3" style="4" customWidth="1"/>
    <col min="15315" max="15315" width="4.42578125" style="4" bestFit="1" customWidth="1"/>
    <col min="15316" max="15316" width="59.140625" style="4" customWidth="1"/>
    <col min="15317" max="15317" width="0" style="4" hidden="1" customWidth="1"/>
    <col min="15318" max="15318" width="12.7109375" style="4" customWidth="1"/>
    <col min="15319" max="15319" width="8.28515625" style="4" customWidth="1"/>
    <col min="15320" max="15320" width="14.42578125" style="4" customWidth="1"/>
    <col min="15321" max="15321" width="7.28515625" style="4" customWidth="1"/>
    <col min="15322" max="15322" width="9.5703125" style="4" customWidth="1"/>
    <col min="15323" max="15323" width="17" style="4" customWidth="1"/>
    <col min="15324" max="15324" width="0" style="4" hidden="1" customWidth="1"/>
    <col min="15325" max="15325" width="15.140625" style="4" customWidth="1"/>
    <col min="15326" max="15326" width="13.85546875" style="4" customWidth="1"/>
    <col min="15327" max="15327" width="4.42578125" style="4" customWidth="1"/>
    <col min="15328" max="15328" width="12.28515625" style="4" customWidth="1"/>
    <col min="15329" max="15329" width="6" style="4" customWidth="1"/>
    <col min="15330" max="15330" width="19.85546875" style="4" customWidth="1"/>
    <col min="15331" max="15331" width="5.140625" style="4" customWidth="1"/>
    <col min="15332" max="15332" width="17.28515625" style="4" bestFit="1" customWidth="1"/>
    <col min="15333" max="15334" width="0" style="4" hidden="1" customWidth="1"/>
    <col min="15335" max="15335" width="5.85546875" style="4" customWidth="1"/>
    <col min="15336" max="15336" width="10.28515625" style="4" customWidth="1"/>
    <col min="15337" max="15337" width="15.42578125" style="4" customWidth="1"/>
    <col min="15338" max="15338" width="11.85546875" style="4" customWidth="1"/>
    <col min="15339" max="15339" width="16.42578125" style="4" customWidth="1"/>
    <col min="15340" max="15340" width="17.28515625" style="4" customWidth="1"/>
    <col min="15341" max="15341" width="19" style="4" bestFit="1" customWidth="1"/>
    <col min="15342" max="15342" width="20" style="4" customWidth="1"/>
    <col min="15343" max="15343" width="18.7109375" style="4" bestFit="1" customWidth="1"/>
    <col min="15344" max="15344" width="17.85546875" style="4" bestFit="1" customWidth="1"/>
    <col min="15345" max="15345" width="16.42578125" style="4" bestFit="1" customWidth="1"/>
    <col min="15346" max="15360" width="9.140625" style="4"/>
    <col min="15361" max="15361" width="6.85546875" style="4" customWidth="1"/>
    <col min="15362" max="15362" width="54.85546875" style="4" customWidth="1"/>
    <col min="15363" max="15363" width="0" style="4" hidden="1" customWidth="1"/>
    <col min="15364" max="15364" width="12.7109375" style="4" customWidth="1"/>
    <col min="15365" max="15365" width="13.85546875" style="4" customWidth="1"/>
    <col min="15366" max="15366" width="19.42578125" style="4" customWidth="1"/>
    <col min="15367" max="15367" width="9.28515625" style="4" customWidth="1"/>
    <col min="15368" max="15368" width="11.85546875" style="4" customWidth="1"/>
    <col min="15369" max="15369" width="16.42578125" style="4" customWidth="1"/>
    <col min="15370" max="15370" width="0" style="4" hidden="1" customWidth="1"/>
    <col min="15371" max="15371" width="16.5703125" style="4" customWidth="1"/>
    <col min="15372" max="15373" width="0" style="4" hidden="1" customWidth="1"/>
    <col min="15374" max="15375" width="16.5703125" style="4" customWidth="1"/>
    <col min="15376" max="15376" width="5.140625" style="4" customWidth="1"/>
    <col min="15377" max="15377" width="16.5703125" style="4" customWidth="1"/>
    <col min="15378" max="15378" width="5.140625" style="4" customWidth="1"/>
    <col min="15379" max="15379" width="16.5703125" style="4" customWidth="1"/>
    <col min="15380" max="15380" width="5.140625" style="4" customWidth="1"/>
    <col min="15381" max="15381" width="16.5703125" style="4" customWidth="1"/>
    <col min="15382" max="15382" width="5.140625" style="4" customWidth="1"/>
    <col min="15383" max="15383" width="15.28515625" style="4" customWidth="1"/>
    <col min="15384" max="15384" width="4.7109375" style="4" customWidth="1"/>
    <col min="15385" max="15385" width="0" style="4" hidden="1" customWidth="1"/>
    <col min="15386" max="15386" width="6.5703125" style="4" customWidth="1"/>
    <col min="15387" max="15387" width="10.5703125" style="4" customWidth="1"/>
    <col min="15388" max="15388" width="17.42578125" style="4" customWidth="1"/>
    <col min="15389" max="15389" width="7.7109375" style="4" customWidth="1"/>
    <col min="15390" max="15390" width="15.42578125" style="4" customWidth="1"/>
    <col min="15391" max="15391" width="16.42578125" style="4" customWidth="1"/>
    <col min="15392" max="15392" width="17.28515625" style="4" customWidth="1"/>
    <col min="15393" max="15393" width="0" style="4" hidden="1" customWidth="1"/>
    <col min="15394" max="15394" width="19" style="4" customWidth="1"/>
    <col min="15395" max="15397" width="26" style="4" customWidth="1"/>
    <col min="15398" max="15398" width="35.42578125" style="4" customWidth="1"/>
    <col min="15399" max="15399" width="27.5703125" style="4" customWidth="1"/>
    <col min="15400" max="15400" width="9.140625" style="4" customWidth="1"/>
    <col min="15401" max="15401" width="26.7109375" style="4" customWidth="1"/>
    <col min="15402" max="15402" width="17.28515625" style="4" customWidth="1"/>
    <col min="15403" max="15568" width="9.140625" style="4" customWidth="1"/>
    <col min="15569" max="15570" width="3" style="4" customWidth="1"/>
    <col min="15571" max="15571" width="4.42578125" style="4" bestFit="1" customWidth="1"/>
    <col min="15572" max="15572" width="59.140625" style="4" customWidth="1"/>
    <col min="15573" max="15573" width="0" style="4" hidden="1" customWidth="1"/>
    <col min="15574" max="15574" width="12.7109375" style="4" customWidth="1"/>
    <col min="15575" max="15575" width="8.28515625" style="4" customWidth="1"/>
    <col min="15576" max="15576" width="14.42578125" style="4" customWidth="1"/>
    <col min="15577" max="15577" width="7.28515625" style="4" customWidth="1"/>
    <col min="15578" max="15578" width="9.5703125" style="4" customWidth="1"/>
    <col min="15579" max="15579" width="17" style="4" customWidth="1"/>
    <col min="15580" max="15580" width="0" style="4" hidden="1" customWidth="1"/>
    <col min="15581" max="15581" width="15.140625" style="4" customWidth="1"/>
    <col min="15582" max="15582" width="13.85546875" style="4" customWidth="1"/>
    <col min="15583" max="15583" width="4.42578125" style="4" customWidth="1"/>
    <col min="15584" max="15584" width="12.28515625" style="4" customWidth="1"/>
    <col min="15585" max="15585" width="6" style="4" customWidth="1"/>
    <col min="15586" max="15586" width="19.85546875" style="4" customWidth="1"/>
    <col min="15587" max="15587" width="5.140625" style="4" customWidth="1"/>
    <col min="15588" max="15588" width="17.28515625" style="4" bestFit="1" customWidth="1"/>
    <col min="15589" max="15590" width="0" style="4" hidden="1" customWidth="1"/>
    <col min="15591" max="15591" width="5.85546875" style="4" customWidth="1"/>
    <col min="15592" max="15592" width="10.28515625" style="4" customWidth="1"/>
    <col min="15593" max="15593" width="15.42578125" style="4" customWidth="1"/>
    <col min="15594" max="15594" width="11.85546875" style="4" customWidth="1"/>
    <col min="15595" max="15595" width="16.42578125" style="4" customWidth="1"/>
    <col min="15596" max="15596" width="17.28515625" style="4" customWidth="1"/>
    <col min="15597" max="15597" width="19" style="4" bestFit="1" customWidth="1"/>
    <col min="15598" max="15598" width="20" style="4" customWidth="1"/>
    <col min="15599" max="15599" width="18.7109375" style="4" bestFit="1" customWidth="1"/>
    <col min="15600" max="15600" width="17.85546875" style="4" bestFit="1" customWidth="1"/>
    <col min="15601" max="15601" width="16.42578125" style="4" bestFit="1" customWidth="1"/>
    <col min="15602" max="15616" width="9.140625" style="4"/>
    <col min="15617" max="15617" width="6.85546875" style="4" customWidth="1"/>
    <col min="15618" max="15618" width="54.85546875" style="4" customWidth="1"/>
    <col min="15619" max="15619" width="0" style="4" hidden="1" customWidth="1"/>
    <col min="15620" max="15620" width="12.7109375" style="4" customWidth="1"/>
    <col min="15621" max="15621" width="13.85546875" style="4" customWidth="1"/>
    <col min="15622" max="15622" width="19.42578125" style="4" customWidth="1"/>
    <col min="15623" max="15623" width="9.28515625" style="4" customWidth="1"/>
    <col min="15624" max="15624" width="11.85546875" style="4" customWidth="1"/>
    <col min="15625" max="15625" width="16.42578125" style="4" customWidth="1"/>
    <col min="15626" max="15626" width="0" style="4" hidden="1" customWidth="1"/>
    <col min="15627" max="15627" width="16.5703125" style="4" customWidth="1"/>
    <col min="15628" max="15629" width="0" style="4" hidden="1" customWidth="1"/>
    <col min="15630" max="15631" width="16.5703125" style="4" customWidth="1"/>
    <col min="15632" max="15632" width="5.140625" style="4" customWidth="1"/>
    <col min="15633" max="15633" width="16.5703125" style="4" customWidth="1"/>
    <col min="15634" max="15634" width="5.140625" style="4" customWidth="1"/>
    <col min="15635" max="15635" width="16.5703125" style="4" customWidth="1"/>
    <col min="15636" max="15636" width="5.140625" style="4" customWidth="1"/>
    <col min="15637" max="15637" width="16.5703125" style="4" customWidth="1"/>
    <col min="15638" max="15638" width="5.140625" style="4" customWidth="1"/>
    <col min="15639" max="15639" width="15.28515625" style="4" customWidth="1"/>
    <col min="15640" max="15640" width="4.7109375" style="4" customWidth="1"/>
    <col min="15641" max="15641" width="0" style="4" hidden="1" customWidth="1"/>
    <col min="15642" max="15642" width="6.5703125" style="4" customWidth="1"/>
    <col min="15643" max="15643" width="10.5703125" style="4" customWidth="1"/>
    <col min="15644" max="15644" width="17.42578125" style="4" customWidth="1"/>
    <col min="15645" max="15645" width="7.7109375" style="4" customWidth="1"/>
    <col min="15646" max="15646" width="15.42578125" style="4" customWidth="1"/>
    <col min="15647" max="15647" width="16.42578125" style="4" customWidth="1"/>
    <col min="15648" max="15648" width="17.28515625" style="4" customWidth="1"/>
    <col min="15649" max="15649" width="0" style="4" hidden="1" customWidth="1"/>
    <col min="15650" max="15650" width="19" style="4" customWidth="1"/>
    <col min="15651" max="15653" width="26" style="4" customWidth="1"/>
    <col min="15654" max="15654" width="35.42578125" style="4" customWidth="1"/>
    <col min="15655" max="15655" width="27.5703125" style="4" customWidth="1"/>
    <col min="15656" max="15656" width="9.140625" style="4" customWidth="1"/>
    <col min="15657" max="15657" width="26.7109375" style="4" customWidth="1"/>
    <col min="15658" max="15658" width="17.28515625" style="4" customWidth="1"/>
    <col min="15659" max="15824" width="9.140625" style="4" customWidth="1"/>
    <col min="15825" max="15826" width="3" style="4" customWidth="1"/>
    <col min="15827" max="15827" width="4.42578125" style="4" bestFit="1" customWidth="1"/>
    <col min="15828" max="15828" width="59.140625" style="4" customWidth="1"/>
    <col min="15829" max="15829" width="0" style="4" hidden="1" customWidth="1"/>
    <col min="15830" max="15830" width="12.7109375" style="4" customWidth="1"/>
    <col min="15831" max="15831" width="8.28515625" style="4" customWidth="1"/>
    <col min="15832" max="15832" width="14.42578125" style="4" customWidth="1"/>
    <col min="15833" max="15833" width="7.28515625" style="4" customWidth="1"/>
    <col min="15834" max="15834" width="9.5703125" style="4" customWidth="1"/>
    <col min="15835" max="15835" width="17" style="4" customWidth="1"/>
    <col min="15836" max="15836" width="0" style="4" hidden="1" customWidth="1"/>
    <col min="15837" max="15837" width="15.140625" style="4" customWidth="1"/>
    <col min="15838" max="15838" width="13.85546875" style="4" customWidth="1"/>
    <col min="15839" max="15839" width="4.42578125" style="4" customWidth="1"/>
    <col min="15840" max="15840" width="12.28515625" style="4" customWidth="1"/>
    <col min="15841" max="15841" width="6" style="4" customWidth="1"/>
    <col min="15842" max="15842" width="19.85546875" style="4" customWidth="1"/>
    <col min="15843" max="15843" width="5.140625" style="4" customWidth="1"/>
    <col min="15844" max="15844" width="17.28515625" style="4" bestFit="1" customWidth="1"/>
    <col min="15845" max="15846" width="0" style="4" hidden="1" customWidth="1"/>
    <col min="15847" max="15847" width="5.85546875" style="4" customWidth="1"/>
    <col min="15848" max="15848" width="10.28515625" style="4" customWidth="1"/>
    <col min="15849" max="15849" width="15.42578125" style="4" customWidth="1"/>
    <col min="15850" max="15850" width="11.85546875" style="4" customWidth="1"/>
    <col min="15851" max="15851" width="16.42578125" style="4" customWidth="1"/>
    <col min="15852" max="15852" width="17.28515625" style="4" customWidth="1"/>
    <col min="15853" max="15853" width="19" style="4" bestFit="1" customWidth="1"/>
    <col min="15854" max="15854" width="20" style="4" customWidth="1"/>
    <col min="15855" max="15855" width="18.7109375" style="4" bestFit="1" customWidth="1"/>
    <col min="15856" max="15856" width="17.85546875" style="4" bestFit="1" customWidth="1"/>
    <col min="15857" max="15857" width="16.42578125" style="4" bestFit="1" customWidth="1"/>
    <col min="15858" max="15872" width="9.140625" style="4"/>
    <col min="15873" max="15873" width="6.85546875" style="4" customWidth="1"/>
    <col min="15874" max="15874" width="54.85546875" style="4" customWidth="1"/>
    <col min="15875" max="15875" width="0" style="4" hidden="1" customWidth="1"/>
    <col min="15876" max="15876" width="12.7109375" style="4" customWidth="1"/>
    <col min="15877" max="15877" width="13.85546875" style="4" customWidth="1"/>
    <col min="15878" max="15878" width="19.42578125" style="4" customWidth="1"/>
    <col min="15879" max="15879" width="9.28515625" style="4" customWidth="1"/>
    <col min="15880" max="15880" width="11.85546875" style="4" customWidth="1"/>
    <col min="15881" max="15881" width="16.42578125" style="4" customWidth="1"/>
    <col min="15882" max="15882" width="0" style="4" hidden="1" customWidth="1"/>
    <col min="15883" max="15883" width="16.5703125" style="4" customWidth="1"/>
    <col min="15884" max="15885" width="0" style="4" hidden="1" customWidth="1"/>
    <col min="15886" max="15887" width="16.5703125" style="4" customWidth="1"/>
    <col min="15888" max="15888" width="5.140625" style="4" customWidth="1"/>
    <col min="15889" max="15889" width="16.5703125" style="4" customWidth="1"/>
    <col min="15890" max="15890" width="5.140625" style="4" customWidth="1"/>
    <col min="15891" max="15891" width="16.5703125" style="4" customWidth="1"/>
    <col min="15892" max="15892" width="5.140625" style="4" customWidth="1"/>
    <col min="15893" max="15893" width="16.5703125" style="4" customWidth="1"/>
    <col min="15894" max="15894" width="5.140625" style="4" customWidth="1"/>
    <col min="15895" max="15895" width="15.28515625" style="4" customWidth="1"/>
    <col min="15896" max="15896" width="4.7109375" style="4" customWidth="1"/>
    <col min="15897" max="15897" width="0" style="4" hidden="1" customWidth="1"/>
    <col min="15898" max="15898" width="6.5703125" style="4" customWidth="1"/>
    <col min="15899" max="15899" width="10.5703125" style="4" customWidth="1"/>
    <col min="15900" max="15900" width="17.42578125" style="4" customWidth="1"/>
    <col min="15901" max="15901" width="7.7109375" style="4" customWidth="1"/>
    <col min="15902" max="15902" width="15.42578125" style="4" customWidth="1"/>
    <col min="15903" max="15903" width="16.42578125" style="4" customWidth="1"/>
    <col min="15904" max="15904" width="17.28515625" style="4" customWidth="1"/>
    <col min="15905" max="15905" width="0" style="4" hidden="1" customWidth="1"/>
    <col min="15906" max="15906" width="19" style="4" customWidth="1"/>
    <col min="15907" max="15909" width="26" style="4" customWidth="1"/>
    <col min="15910" max="15910" width="35.42578125" style="4" customWidth="1"/>
    <col min="15911" max="15911" width="27.5703125" style="4" customWidth="1"/>
    <col min="15912" max="15912" width="9.140625" style="4" customWidth="1"/>
    <col min="15913" max="15913" width="26.7109375" style="4" customWidth="1"/>
    <col min="15914" max="15914" width="17.28515625" style="4" customWidth="1"/>
    <col min="15915" max="16080" width="9.140625" style="4" customWidth="1"/>
    <col min="16081" max="16082" width="3" style="4" customWidth="1"/>
    <col min="16083" max="16083" width="4.42578125" style="4" bestFit="1" customWidth="1"/>
    <col min="16084" max="16084" width="59.140625" style="4" customWidth="1"/>
    <col min="16085" max="16085" width="0" style="4" hidden="1" customWidth="1"/>
    <col min="16086" max="16086" width="12.7109375" style="4" customWidth="1"/>
    <col min="16087" max="16087" width="8.28515625" style="4" customWidth="1"/>
    <col min="16088" max="16088" width="14.42578125" style="4" customWidth="1"/>
    <col min="16089" max="16089" width="7.28515625" style="4" customWidth="1"/>
    <col min="16090" max="16090" width="9.5703125" style="4" customWidth="1"/>
    <col min="16091" max="16091" width="17" style="4" customWidth="1"/>
    <col min="16092" max="16092" width="0" style="4" hidden="1" customWidth="1"/>
    <col min="16093" max="16093" width="15.140625" style="4" customWidth="1"/>
    <col min="16094" max="16094" width="13.85546875" style="4" customWidth="1"/>
    <col min="16095" max="16095" width="4.42578125" style="4" customWidth="1"/>
    <col min="16096" max="16096" width="12.28515625" style="4" customWidth="1"/>
    <col min="16097" max="16097" width="6" style="4" customWidth="1"/>
    <col min="16098" max="16098" width="19.85546875" style="4" customWidth="1"/>
    <col min="16099" max="16099" width="5.140625" style="4" customWidth="1"/>
    <col min="16100" max="16100" width="17.28515625" style="4" bestFit="1" customWidth="1"/>
    <col min="16101" max="16102" width="0" style="4" hidden="1" customWidth="1"/>
    <col min="16103" max="16103" width="5.85546875" style="4" customWidth="1"/>
    <col min="16104" max="16104" width="10.28515625" style="4" customWidth="1"/>
    <col min="16105" max="16105" width="15.42578125" style="4" customWidth="1"/>
    <col min="16106" max="16106" width="11.85546875" style="4" customWidth="1"/>
    <col min="16107" max="16107" width="16.42578125" style="4" customWidth="1"/>
    <col min="16108" max="16108" width="17.28515625" style="4" customWidth="1"/>
    <col min="16109" max="16109" width="19" style="4" bestFit="1" customWidth="1"/>
    <col min="16110" max="16110" width="20" style="4" customWidth="1"/>
    <col min="16111" max="16111" width="18.7109375" style="4" bestFit="1" customWidth="1"/>
    <col min="16112" max="16112" width="17.85546875" style="4" bestFit="1" customWidth="1"/>
    <col min="16113" max="16113" width="16.42578125" style="4" bestFit="1" customWidth="1"/>
    <col min="16114" max="16128" width="9.140625" style="4"/>
    <col min="16129" max="16129" width="6.85546875" style="4" customWidth="1"/>
    <col min="16130" max="16130" width="54.85546875" style="4" customWidth="1"/>
    <col min="16131" max="16131" width="0" style="4" hidden="1" customWidth="1"/>
    <col min="16132" max="16132" width="12.7109375" style="4" customWidth="1"/>
    <col min="16133" max="16133" width="13.85546875" style="4" customWidth="1"/>
    <col min="16134" max="16134" width="19.42578125" style="4" customWidth="1"/>
    <col min="16135" max="16135" width="9.28515625" style="4" customWidth="1"/>
    <col min="16136" max="16136" width="11.85546875" style="4" customWidth="1"/>
    <col min="16137" max="16137" width="16.42578125" style="4" customWidth="1"/>
    <col min="16138" max="16138" width="0" style="4" hidden="1" customWidth="1"/>
    <col min="16139" max="16139" width="16.5703125" style="4" customWidth="1"/>
    <col min="16140" max="16141" width="0" style="4" hidden="1" customWidth="1"/>
    <col min="16142" max="16143" width="16.5703125" style="4" customWidth="1"/>
    <col min="16144" max="16144" width="5.140625" style="4" customWidth="1"/>
    <col min="16145" max="16145" width="16.5703125" style="4" customWidth="1"/>
    <col min="16146" max="16146" width="5.140625" style="4" customWidth="1"/>
    <col min="16147" max="16147" width="16.5703125" style="4" customWidth="1"/>
    <col min="16148" max="16148" width="5.140625" style="4" customWidth="1"/>
    <col min="16149" max="16149" width="16.5703125" style="4" customWidth="1"/>
    <col min="16150" max="16150" width="5.140625" style="4" customWidth="1"/>
    <col min="16151" max="16151" width="15.28515625" style="4" customWidth="1"/>
    <col min="16152" max="16152" width="4.7109375" style="4" customWidth="1"/>
    <col min="16153" max="16153" width="0" style="4" hidden="1" customWidth="1"/>
    <col min="16154" max="16154" width="6.5703125" style="4" customWidth="1"/>
    <col min="16155" max="16155" width="10.5703125" style="4" customWidth="1"/>
    <col min="16156" max="16156" width="17.42578125" style="4" customWidth="1"/>
    <col min="16157" max="16157" width="7.7109375" style="4" customWidth="1"/>
    <col min="16158" max="16158" width="15.42578125" style="4" customWidth="1"/>
    <col min="16159" max="16159" width="16.42578125" style="4" customWidth="1"/>
    <col min="16160" max="16160" width="17.28515625" style="4" customWidth="1"/>
    <col min="16161" max="16161" width="0" style="4" hidden="1" customWidth="1"/>
    <col min="16162" max="16162" width="19" style="4" customWidth="1"/>
    <col min="16163" max="16165" width="26" style="4" customWidth="1"/>
    <col min="16166" max="16166" width="35.42578125" style="4" customWidth="1"/>
    <col min="16167" max="16167" width="27.5703125" style="4" customWidth="1"/>
    <col min="16168" max="16168" width="9.140625" style="4" customWidth="1"/>
    <col min="16169" max="16169" width="26.7109375" style="4" customWidth="1"/>
    <col min="16170" max="16170" width="17.28515625" style="4" customWidth="1"/>
    <col min="16171" max="16336" width="9.140625" style="4" customWidth="1"/>
    <col min="16337" max="16338" width="3" style="4" customWidth="1"/>
    <col min="16339" max="16339" width="4.42578125" style="4" bestFit="1" customWidth="1"/>
    <col min="16340" max="16340" width="59.140625" style="4" customWidth="1"/>
    <col min="16341" max="16341" width="0" style="4" hidden="1" customWidth="1"/>
    <col min="16342" max="16342" width="12.7109375" style="4" customWidth="1"/>
    <col min="16343" max="16343" width="8.28515625" style="4" customWidth="1"/>
    <col min="16344" max="16344" width="14.42578125" style="4" customWidth="1"/>
    <col min="16345" max="16345" width="7.28515625" style="4" customWidth="1"/>
    <col min="16346" max="16346" width="9.5703125" style="4" customWidth="1"/>
    <col min="16347" max="16347" width="17" style="4" customWidth="1"/>
    <col min="16348" max="16348" width="0" style="4" hidden="1" customWidth="1"/>
    <col min="16349" max="16349" width="15.140625" style="4" customWidth="1"/>
    <col min="16350" max="16350" width="13.85546875" style="4" customWidth="1"/>
    <col min="16351" max="16351" width="4.42578125" style="4" customWidth="1"/>
    <col min="16352" max="16352" width="12.28515625" style="4" customWidth="1"/>
    <col min="16353" max="16353" width="6" style="4" customWidth="1"/>
    <col min="16354" max="16354" width="19.85546875" style="4" customWidth="1"/>
    <col min="16355" max="16355" width="5.140625" style="4" customWidth="1"/>
    <col min="16356" max="16356" width="17.28515625" style="4" bestFit="1" customWidth="1"/>
    <col min="16357" max="16358" width="0" style="4" hidden="1" customWidth="1"/>
    <col min="16359" max="16359" width="5.85546875" style="4" customWidth="1"/>
    <col min="16360" max="16360" width="10.28515625" style="4" customWidth="1"/>
    <col min="16361" max="16361" width="15.42578125" style="4" customWidth="1"/>
    <col min="16362" max="16362" width="11.85546875" style="4" customWidth="1"/>
    <col min="16363" max="16363" width="16.42578125" style="4" customWidth="1"/>
    <col min="16364" max="16364" width="17.28515625" style="4" customWidth="1"/>
    <col min="16365" max="16365" width="19" style="4" bestFit="1" customWidth="1"/>
    <col min="16366" max="16366" width="20" style="4" customWidth="1"/>
    <col min="16367" max="16367" width="18.7109375" style="4" bestFit="1" customWidth="1"/>
    <col min="16368" max="16368" width="17.85546875" style="4" bestFit="1" customWidth="1"/>
    <col min="16369" max="16369" width="16.42578125" style="4" bestFit="1" customWidth="1"/>
    <col min="16370" max="16384" width="9.140625" style="4"/>
  </cols>
  <sheetData>
    <row r="1" spans="1:210">
      <c r="AI1" s="7"/>
    </row>
    <row r="2" spans="1:210" s="14" customFormat="1">
      <c r="A2" s="1524" t="s">
        <v>41</v>
      </c>
      <c r="B2" s="1524"/>
      <c r="C2" s="1524"/>
      <c r="D2" s="1524"/>
      <c r="E2" s="1524"/>
      <c r="F2" s="1524"/>
      <c r="G2" s="9"/>
      <c r="H2" s="10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525" t="s">
        <v>42</v>
      </c>
      <c r="AF2" s="1525"/>
      <c r="AG2" s="1525"/>
      <c r="AH2" s="1525"/>
      <c r="AI2" s="1525"/>
      <c r="AJ2" s="12"/>
      <c r="AK2" s="12"/>
      <c r="AL2" s="13"/>
      <c r="AM2" s="13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</row>
    <row r="3" spans="1:210" s="14" customFormat="1">
      <c r="A3" s="1524"/>
      <c r="B3" s="1524"/>
      <c r="C3" s="1524"/>
      <c r="D3" s="1524"/>
      <c r="E3" s="1524"/>
      <c r="F3" s="1524"/>
      <c r="G3" s="9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525"/>
      <c r="AF3" s="1525"/>
      <c r="AG3" s="1525"/>
      <c r="AH3" s="1525"/>
      <c r="AI3" s="1525"/>
      <c r="AJ3" s="12"/>
      <c r="AK3" s="12"/>
      <c r="AL3" s="13"/>
      <c r="AM3" s="13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</row>
    <row r="4" spans="1:210" s="14" customFormat="1">
      <c r="A4" s="1524"/>
      <c r="B4" s="1524"/>
      <c r="C4" s="1524"/>
      <c r="D4" s="1524"/>
      <c r="E4" s="1524"/>
      <c r="F4" s="1524"/>
      <c r="G4" s="9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525"/>
      <c r="AF4" s="1525"/>
      <c r="AG4" s="1525"/>
      <c r="AH4" s="1525"/>
      <c r="AI4" s="1525"/>
      <c r="AJ4" s="12"/>
      <c r="AK4" s="12"/>
      <c r="AL4" s="13"/>
      <c r="AM4" s="13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</row>
    <row r="5" spans="1:210" s="14" customFormat="1">
      <c r="A5" s="1524"/>
      <c r="B5" s="1524"/>
      <c r="C5" s="1524"/>
      <c r="D5" s="1524"/>
      <c r="E5" s="1524"/>
      <c r="F5" s="1524"/>
      <c r="G5" s="9"/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525"/>
      <c r="AF5" s="1525"/>
      <c r="AG5" s="1525"/>
      <c r="AH5" s="1525"/>
      <c r="AI5" s="1525"/>
      <c r="AJ5" s="12"/>
      <c r="AK5" s="12"/>
      <c r="AL5" s="13"/>
      <c r="AM5" s="13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</row>
    <row r="6" spans="1:210" s="14" customFormat="1">
      <c r="A6" s="1524"/>
      <c r="B6" s="1524"/>
      <c r="C6" s="1524"/>
      <c r="D6" s="1524"/>
      <c r="E6" s="1524"/>
      <c r="F6" s="1524"/>
      <c r="G6" s="9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525"/>
      <c r="AF6" s="1525"/>
      <c r="AG6" s="1525"/>
      <c r="AH6" s="1525"/>
      <c r="AI6" s="1525"/>
      <c r="AJ6" s="12"/>
      <c r="AK6" s="12"/>
      <c r="AL6" s="13"/>
      <c r="AM6" s="13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</row>
    <row r="7" spans="1:210" s="14" customFormat="1" ht="18.75" customHeight="1">
      <c r="A7" s="1524" t="s">
        <v>43</v>
      </c>
      <c r="B7" s="1524"/>
      <c r="C7" s="1524"/>
      <c r="D7" s="1524"/>
      <c r="E7" s="1524"/>
      <c r="F7" s="1524"/>
      <c r="G7" s="9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F7" s="1526" t="s">
        <v>44</v>
      </c>
      <c r="AG7" s="1526"/>
      <c r="AH7" s="1526"/>
      <c r="AI7" s="1526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</row>
    <row r="8" spans="1:210" s="14" customFormat="1" ht="18.75" customHeight="1">
      <c r="A8" s="1524" t="s">
        <v>45</v>
      </c>
      <c r="B8" s="1524"/>
      <c r="C8" s="1524"/>
      <c r="D8" s="1524"/>
      <c r="E8" s="1524"/>
      <c r="F8" s="1524"/>
      <c r="G8" s="9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F8" s="1526" t="s">
        <v>46</v>
      </c>
      <c r="AG8" s="1526"/>
      <c r="AH8" s="1526"/>
      <c r="AI8" s="1526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</row>
    <row r="9" spans="1:210" s="14" customFormat="1">
      <c r="A9" s="15"/>
      <c r="B9" s="9"/>
      <c r="C9" s="15"/>
      <c r="D9" s="15"/>
      <c r="E9" s="11"/>
      <c r="F9" s="16"/>
      <c r="G9" s="17"/>
      <c r="H9" s="10"/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529"/>
      <c r="AF9" s="1529"/>
      <c r="AG9" s="1529"/>
      <c r="AH9" s="1529"/>
      <c r="AI9" s="1529"/>
      <c r="AJ9" s="11"/>
      <c r="AK9" s="11"/>
      <c r="AL9" s="13"/>
      <c r="AM9" s="13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</row>
    <row r="10" spans="1:210" s="14" customFormat="1" ht="10.5" customHeight="1">
      <c r="A10" s="15"/>
      <c r="B10" s="15"/>
      <c r="C10" s="15"/>
      <c r="D10" s="15"/>
      <c r="E10" s="11"/>
      <c r="F10" s="18"/>
      <c r="G10" s="9"/>
      <c r="H10" s="10"/>
      <c r="I10" s="10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3"/>
      <c r="AM10" s="13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</row>
    <row r="11" spans="1:210" s="22" customFormat="1">
      <c r="A11" s="1530" t="s">
        <v>47</v>
      </c>
      <c r="B11" s="1530"/>
      <c r="C11" s="1530"/>
      <c r="D11" s="1530"/>
      <c r="E11" s="1530"/>
      <c r="F11" s="1530"/>
      <c r="G11" s="1530"/>
      <c r="H11" s="1530"/>
      <c r="I11" s="1530"/>
      <c r="J11" s="1530"/>
      <c r="K11" s="1530"/>
      <c r="L11" s="1530"/>
      <c r="M11" s="1530"/>
      <c r="N11" s="1530"/>
      <c r="O11" s="1530"/>
      <c r="P11" s="1530"/>
      <c r="Q11" s="1530"/>
      <c r="R11" s="1530"/>
      <c r="S11" s="1530"/>
      <c r="T11" s="1530"/>
      <c r="U11" s="1530"/>
      <c r="V11" s="1530"/>
      <c r="W11" s="1530"/>
      <c r="X11" s="1530"/>
      <c r="Y11" s="1530"/>
      <c r="Z11" s="1530"/>
      <c r="AA11" s="1530"/>
      <c r="AB11" s="1530"/>
      <c r="AC11" s="1530"/>
      <c r="AD11" s="1530"/>
      <c r="AE11" s="1530"/>
      <c r="AF11" s="1530"/>
      <c r="AG11" s="1530"/>
      <c r="AH11" s="1530"/>
      <c r="AI11" s="1530"/>
      <c r="AJ11" s="19"/>
      <c r="AK11" s="19"/>
      <c r="AL11" s="20"/>
      <c r="AM11" s="20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</row>
    <row r="12" spans="1:210" s="22" customFormat="1" ht="13.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4"/>
      <c r="AK12" s="24"/>
      <c r="AL12" s="25"/>
      <c r="AM12" s="25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</row>
    <row r="13" spans="1:210" s="22" customFormat="1">
      <c r="A13" s="1531" t="s">
        <v>2</v>
      </c>
      <c r="B13" s="1531" t="s">
        <v>48</v>
      </c>
      <c r="C13" s="1531" t="s">
        <v>49</v>
      </c>
      <c r="D13" s="1532" t="s">
        <v>50</v>
      </c>
      <c r="E13" s="1534" t="s">
        <v>51</v>
      </c>
      <c r="F13" s="1531" t="s">
        <v>52</v>
      </c>
      <c r="G13" s="1531" t="s">
        <v>53</v>
      </c>
      <c r="H13" s="1531" t="s">
        <v>54</v>
      </c>
      <c r="I13" s="1531" t="s">
        <v>53</v>
      </c>
      <c r="J13" s="27"/>
      <c r="K13" s="1537" t="s">
        <v>55</v>
      </c>
      <c r="L13" s="1537" t="s">
        <v>56</v>
      </c>
      <c r="M13" s="28"/>
      <c r="N13" s="1537" t="s">
        <v>57</v>
      </c>
      <c r="O13" s="1537" t="s">
        <v>58</v>
      </c>
      <c r="P13" s="1527" t="s">
        <v>59</v>
      </c>
      <c r="Q13" s="1527" t="s">
        <v>60</v>
      </c>
      <c r="R13" s="1527" t="s">
        <v>59</v>
      </c>
      <c r="S13" s="29"/>
      <c r="T13" s="1527" t="s">
        <v>59</v>
      </c>
      <c r="U13" s="1537" t="s">
        <v>61</v>
      </c>
      <c r="V13" s="1537" t="s">
        <v>59</v>
      </c>
      <c r="W13" s="1537" t="s">
        <v>62</v>
      </c>
      <c r="X13" s="1537" t="s">
        <v>59</v>
      </c>
      <c r="Y13" s="1537" t="s">
        <v>63</v>
      </c>
      <c r="Z13" s="1527" t="s">
        <v>59</v>
      </c>
      <c r="AA13" s="1537" t="s">
        <v>59</v>
      </c>
      <c r="AB13" s="1534" t="s">
        <v>64</v>
      </c>
      <c r="AC13" s="1527" t="s">
        <v>59</v>
      </c>
      <c r="AD13" s="1541" t="s">
        <v>65</v>
      </c>
      <c r="AE13" s="1537" t="s">
        <v>66</v>
      </c>
      <c r="AF13" s="1537" t="s">
        <v>67</v>
      </c>
      <c r="AG13" s="1537" t="s">
        <v>68</v>
      </c>
      <c r="AH13" s="1537" t="s">
        <v>69</v>
      </c>
      <c r="AI13" s="1537" t="s">
        <v>70</v>
      </c>
      <c r="AJ13" s="30"/>
      <c r="AK13" s="30"/>
      <c r="AL13" s="31"/>
      <c r="AM13" s="31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</row>
    <row r="14" spans="1:210" s="33" customFormat="1" ht="178.5" customHeight="1">
      <c r="A14" s="1531"/>
      <c r="B14" s="1531"/>
      <c r="C14" s="1531"/>
      <c r="D14" s="1533"/>
      <c r="E14" s="1535"/>
      <c r="F14" s="1531"/>
      <c r="G14" s="1536"/>
      <c r="H14" s="1531"/>
      <c r="I14" s="1536"/>
      <c r="J14" s="27"/>
      <c r="K14" s="1537"/>
      <c r="L14" s="1537"/>
      <c r="M14" s="28"/>
      <c r="N14" s="1537"/>
      <c r="O14" s="1537"/>
      <c r="P14" s="1528"/>
      <c r="Q14" s="1528"/>
      <c r="R14" s="1528"/>
      <c r="S14" s="32" t="s">
        <v>71</v>
      </c>
      <c r="T14" s="1528"/>
      <c r="U14" s="1537"/>
      <c r="V14" s="1537"/>
      <c r="W14" s="1537"/>
      <c r="X14" s="1537"/>
      <c r="Y14" s="1537"/>
      <c r="Z14" s="1528"/>
      <c r="AA14" s="1537"/>
      <c r="AB14" s="1534"/>
      <c r="AC14" s="1528"/>
      <c r="AD14" s="1542"/>
      <c r="AE14" s="1537"/>
      <c r="AF14" s="1537"/>
      <c r="AG14" s="1537"/>
      <c r="AH14" s="1537"/>
      <c r="AI14" s="1537"/>
      <c r="AJ14" s="30"/>
      <c r="AK14" s="30"/>
      <c r="AL14" s="25"/>
      <c r="AM14" s="25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</row>
    <row r="15" spans="1:210" s="26" customFormat="1" ht="18.95" customHeight="1">
      <c r="A15" s="34">
        <v>1</v>
      </c>
      <c r="B15" s="35" t="s">
        <v>72</v>
      </c>
      <c r="C15" s="35"/>
      <c r="D15" s="36" t="s">
        <v>73</v>
      </c>
      <c r="E15" s="37">
        <v>1</v>
      </c>
      <c r="F15" s="38" t="s">
        <v>74</v>
      </c>
      <c r="G15" s="36">
        <v>4.43</v>
      </c>
      <c r="H15" s="38">
        <v>17697</v>
      </c>
      <c r="I15" s="39">
        <v>1.45</v>
      </c>
      <c r="J15" s="38"/>
      <c r="K15" s="38">
        <f t="shared" ref="K15:K22" si="0">H15*G15*E15*I15</f>
        <v>113676.67949999998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>
        <v>70</v>
      </c>
      <c r="AA15" s="37">
        <f>Z15*300%</f>
        <v>210</v>
      </c>
      <c r="AB15" s="37">
        <f>K15*AA15%</f>
        <v>238721.02694999997</v>
      </c>
      <c r="AC15" s="37"/>
      <c r="AD15" s="37"/>
      <c r="AE15" s="38">
        <f t="shared" ref="AE15:AE22" si="1">K15*0.1</f>
        <v>11367.667949999999</v>
      </c>
      <c r="AF15" s="38">
        <f t="shared" ref="AF15:AF22" si="2">K15+N15+O15+Q15+S15+U15+W15+Y15+AB15+AE15+AD15</f>
        <v>363765.37439999991</v>
      </c>
      <c r="AG15" s="38">
        <f t="shared" ref="AG15:AG22" si="3">AF15*12</f>
        <v>4365184.4927999992</v>
      </c>
      <c r="AH15" s="38">
        <f t="shared" ref="AH15:AH22" si="4">K15</f>
        <v>113676.67949999998</v>
      </c>
      <c r="AI15" s="38">
        <f t="shared" ref="AI15:AI78" si="5">AF15*12+AH15</f>
        <v>4478861.1722999988</v>
      </c>
      <c r="AJ15" s="40"/>
      <c r="AK15" s="40"/>
      <c r="AL15" s="31">
        <f>AG15+AH15</f>
        <v>4478861.1722999988</v>
      </c>
      <c r="AM15" s="31">
        <f>AI15-AL15</f>
        <v>0</v>
      </c>
    </row>
    <row r="16" spans="1:210" s="43" customFormat="1" ht="18.95" customHeight="1">
      <c r="A16" s="34">
        <v>2</v>
      </c>
      <c r="B16" s="41" t="s">
        <v>75</v>
      </c>
      <c r="C16" s="35"/>
      <c r="D16" s="36" t="s">
        <v>73</v>
      </c>
      <c r="E16" s="37">
        <v>1</v>
      </c>
      <c r="F16" s="42" t="s">
        <v>76</v>
      </c>
      <c r="G16" s="36">
        <v>4.71</v>
      </c>
      <c r="H16" s="38">
        <v>17697</v>
      </c>
      <c r="I16" s="39">
        <v>1.45</v>
      </c>
      <c r="J16" s="38"/>
      <c r="K16" s="38">
        <f t="shared" si="0"/>
        <v>120861.66149999999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>
        <v>60</v>
      </c>
      <c r="AA16" s="37">
        <f>Z16*300%</f>
        <v>180</v>
      </c>
      <c r="AB16" s="37">
        <f>K16*AA16%</f>
        <v>217550.99069999999</v>
      </c>
      <c r="AC16" s="37"/>
      <c r="AD16" s="37"/>
      <c r="AE16" s="38">
        <f t="shared" si="1"/>
        <v>12086.166149999999</v>
      </c>
      <c r="AF16" s="38">
        <f t="shared" si="2"/>
        <v>350498.81835000002</v>
      </c>
      <c r="AG16" s="38">
        <f t="shared" si="3"/>
        <v>4205985.8202</v>
      </c>
      <c r="AH16" s="38">
        <f t="shared" si="4"/>
        <v>120861.66149999999</v>
      </c>
      <c r="AI16" s="38">
        <f t="shared" si="5"/>
        <v>4326847.4817000004</v>
      </c>
      <c r="AJ16" s="40"/>
      <c r="AK16" s="40"/>
      <c r="AL16" s="31"/>
      <c r="AM16" s="31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</row>
    <row r="17" spans="1:210" s="26" customFormat="1" ht="18.95" customHeight="1">
      <c r="A17" s="34">
        <v>3</v>
      </c>
      <c r="B17" s="35" t="s">
        <v>77</v>
      </c>
      <c r="C17" s="44"/>
      <c r="D17" s="36" t="s">
        <v>73</v>
      </c>
      <c r="E17" s="37">
        <v>1</v>
      </c>
      <c r="F17" s="34" t="s">
        <v>78</v>
      </c>
      <c r="G17" s="36">
        <v>4.51</v>
      </c>
      <c r="H17" s="38">
        <v>17697</v>
      </c>
      <c r="I17" s="39">
        <v>1.45</v>
      </c>
      <c r="J17" s="38"/>
      <c r="K17" s="38">
        <f t="shared" si="0"/>
        <v>115729.5315</v>
      </c>
      <c r="L17" s="38">
        <v>0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>
        <v>80</v>
      </c>
      <c r="AA17" s="37">
        <f>Z17*300%</f>
        <v>240</v>
      </c>
      <c r="AB17" s="37">
        <f>K17*AA17%</f>
        <v>277750.87559999997</v>
      </c>
      <c r="AC17" s="37"/>
      <c r="AD17" s="37"/>
      <c r="AE17" s="38">
        <f t="shared" si="1"/>
        <v>11572.953150000001</v>
      </c>
      <c r="AF17" s="38">
        <f t="shared" si="2"/>
        <v>405053.36024999997</v>
      </c>
      <c r="AG17" s="38">
        <f t="shared" si="3"/>
        <v>4860640.3229999999</v>
      </c>
      <c r="AH17" s="38">
        <f t="shared" si="4"/>
        <v>115729.5315</v>
      </c>
      <c r="AI17" s="38">
        <f t="shared" si="5"/>
        <v>4976369.8544999994</v>
      </c>
      <c r="AJ17" s="40"/>
      <c r="AK17" s="40"/>
      <c r="AL17" s="25"/>
      <c r="AM17" s="25"/>
    </row>
    <row r="18" spans="1:210" s="26" customFormat="1" ht="18.95" customHeight="1">
      <c r="A18" s="34">
        <v>4</v>
      </c>
      <c r="B18" s="35" t="s">
        <v>79</v>
      </c>
      <c r="C18" s="44"/>
      <c r="D18" s="36" t="s">
        <v>73</v>
      </c>
      <c r="E18" s="37">
        <v>1</v>
      </c>
      <c r="F18" s="34" t="s">
        <v>80</v>
      </c>
      <c r="G18" s="36">
        <v>4.46</v>
      </c>
      <c r="H18" s="38">
        <v>17697</v>
      </c>
      <c r="I18" s="39">
        <v>1.45</v>
      </c>
      <c r="J18" s="38"/>
      <c r="K18" s="38">
        <f t="shared" si="0"/>
        <v>114446.499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>
        <v>80</v>
      </c>
      <c r="AA18" s="37">
        <f>Z18*300%</f>
        <v>240</v>
      </c>
      <c r="AB18" s="37">
        <f>K18*AA18%</f>
        <v>274671.59759999998</v>
      </c>
      <c r="AC18" s="37"/>
      <c r="AD18" s="37"/>
      <c r="AE18" s="38">
        <f t="shared" si="1"/>
        <v>11444.6499</v>
      </c>
      <c r="AF18" s="38">
        <f t="shared" si="2"/>
        <v>400562.74650000001</v>
      </c>
      <c r="AG18" s="38">
        <f t="shared" si="3"/>
        <v>4806752.9580000006</v>
      </c>
      <c r="AH18" s="38">
        <f t="shared" si="4"/>
        <v>114446.499</v>
      </c>
      <c r="AI18" s="38">
        <f t="shared" si="5"/>
        <v>4921199.4570000004</v>
      </c>
      <c r="AJ18" s="40"/>
      <c r="AK18" s="40"/>
      <c r="AL18" s="25"/>
      <c r="AM18" s="25"/>
    </row>
    <row r="19" spans="1:210" s="26" customFormat="1" ht="18.95" customHeight="1">
      <c r="A19" s="34">
        <v>5</v>
      </c>
      <c r="B19" s="35" t="s">
        <v>81</v>
      </c>
      <c r="C19" s="41"/>
      <c r="D19" s="34" t="s">
        <v>82</v>
      </c>
      <c r="E19" s="37">
        <v>5</v>
      </c>
      <c r="F19" s="34" t="s">
        <v>74</v>
      </c>
      <c r="G19" s="36">
        <v>3.12</v>
      </c>
      <c r="H19" s="38">
        <v>17697</v>
      </c>
      <c r="I19" s="39">
        <v>1.45</v>
      </c>
      <c r="J19" s="38"/>
      <c r="K19" s="38">
        <f t="shared" si="0"/>
        <v>400306.14</v>
      </c>
      <c r="L19" s="38">
        <v>0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7"/>
      <c r="AC19" s="37"/>
      <c r="AD19" s="37"/>
      <c r="AE19" s="38">
        <f t="shared" si="1"/>
        <v>40030.614000000001</v>
      </c>
      <c r="AF19" s="38">
        <f t="shared" si="2"/>
        <v>440336.75400000002</v>
      </c>
      <c r="AG19" s="38">
        <f t="shared" si="3"/>
        <v>5284041.0480000004</v>
      </c>
      <c r="AH19" s="38">
        <f t="shared" si="4"/>
        <v>400306.14</v>
      </c>
      <c r="AI19" s="38">
        <f t="shared" si="5"/>
        <v>5684347.1880000001</v>
      </c>
      <c r="AJ19" s="40"/>
      <c r="AK19" s="40"/>
      <c r="AL19" s="25"/>
      <c r="AM19" s="25"/>
    </row>
    <row r="20" spans="1:210" s="26" customFormat="1" ht="18.95" customHeight="1">
      <c r="A20" s="34">
        <v>6</v>
      </c>
      <c r="B20" s="35" t="s">
        <v>83</v>
      </c>
      <c r="C20" s="44"/>
      <c r="D20" s="36" t="s">
        <v>73</v>
      </c>
      <c r="E20" s="37">
        <v>1</v>
      </c>
      <c r="F20" s="38" t="s">
        <v>74</v>
      </c>
      <c r="G20" s="36">
        <v>4.43</v>
      </c>
      <c r="H20" s="38">
        <v>17697</v>
      </c>
      <c r="I20" s="39">
        <v>1.45</v>
      </c>
      <c r="J20" s="38"/>
      <c r="K20" s="38">
        <f t="shared" si="0"/>
        <v>113676.67949999998</v>
      </c>
      <c r="L20" s="38">
        <v>0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>
        <v>80</v>
      </c>
      <c r="AA20" s="37">
        <f t="shared" ref="AA20:AA29" si="6">Z20*300%</f>
        <v>240</v>
      </c>
      <c r="AB20" s="37">
        <f>K20*AA20%</f>
        <v>272824.03079999995</v>
      </c>
      <c r="AC20" s="37"/>
      <c r="AD20" s="37"/>
      <c r="AE20" s="38">
        <f t="shared" si="1"/>
        <v>11367.667949999999</v>
      </c>
      <c r="AF20" s="38">
        <f t="shared" si="2"/>
        <v>397868.37824999989</v>
      </c>
      <c r="AG20" s="38">
        <f t="shared" si="3"/>
        <v>4774420.5389999989</v>
      </c>
      <c r="AH20" s="38">
        <f t="shared" si="4"/>
        <v>113676.67949999998</v>
      </c>
      <c r="AI20" s="38">
        <f t="shared" si="5"/>
        <v>4888097.2184999986</v>
      </c>
      <c r="AJ20" s="40"/>
      <c r="AK20" s="40"/>
      <c r="AL20" s="31"/>
      <c r="AM20" s="31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</row>
    <row r="21" spans="1:210" s="26" customFormat="1" ht="18.95" customHeight="1">
      <c r="A21" s="34">
        <v>7</v>
      </c>
      <c r="B21" s="35" t="s">
        <v>84</v>
      </c>
      <c r="C21" s="44" t="s">
        <v>85</v>
      </c>
      <c r="D21" s="36" t="s">
        <v>73</v>
      </c>
      <c r="E21" s="37">
        <v>1</v>
      </c>
      <c r="F21" s="38" t="s">
        <v>74</v>
      </c>
      <c r="G21" s="36">
        <v>4.43</v>
      </c>
      <c r="H21" s="38">
        <v>17697</v>
      </c>
      <c r="I21" s="39">
        <v>1.45</v>
      </c>
      <c r="J21" s="38"/>
      <c r="K21" s="38">
        <f t="shared" si="0"/>
        <v>113676.67949999998</v>
      </c>
      <c r="L21" s="38">
        <v>0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>
        <v>80</v>
      </c>
      <c r="AA21" s="37">
        <f t="shared" si="6"/>
        <v>240</v>
      </c>
      <c r="AB21" s="37">
        <f>K21*AA21%</f>
        <v>272824.03079999995</v>
      </c>
      <c r="AC21" s="37"/>
      <c r="AD21" s="37"/>
      <c r="AE21" s="38">
        <f t="shared" si="1"/>
        <v>11367.667949999999</v>
      </c>
      <c r="AF21" s="38">
        <f t="shared" si="2"/>
        <v>397868.37824999989</v>
      </c>
      <c r="AG21" s="38">
        <f t="shared" si="3"/>
        <v>4774420.5389999989</v>
      </c>
      <c r="AH21" s="38">
        <f t="shared" si="4"/>
        <v>113676.67949999998</v>
      </c>
      <c r="AI21" s="38">
        <f t="shared" si="5"/>
        <v>4888097.2184999986</v>
      </c>
      <c r="AJ21" s="40"/>
      <c r="AK21" s="40"/>
      <c r="AL21" s="31"/>
      <c r="AM21" s="31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</row>
    <row r="22" spans="1:210" s="26" customFormat="1" ht="18.95" customHeight="1">
      <c r="A22" s="34">
        <v>8</v>
      </c>
      <c r="B22" s="35" t="s">
        <v>86</v>
      </c>
      <c r="C22" s="35" t="s">
        <v>87</v>
      </c>
      <c r="D22" s="36" t="s">
        <v>73</v>
      </c>
      <c r="E22" s="37">
        <v>1</v>
      </c>
      <c r="F22" s="34" t="s">
        <v>88</v>
      </c>
      <c r="G22" s="36">
        <v>4.83</v>
      </c>
      <c r="H22" s="45">
        <v>17697</v>
      </c>
      <c r="I22" s="39">
        <v>1.45</v>
      </c>
      <c r="J22" s="38"/>
      <c r="K22" s="38">
        <f t="shared" si="0"/>
        <v>123940.93949999999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>
        <v>60</v>
      </c>
      <c r="AA22" s="37">
        <f t="shared" si="6"/>
        <v>180</v>
      </c>
      <c r="AB22" s="37">
        <f>K22*AA22%</f>
        <v>223093.6911</v>
      </c>
      <c r="AC22" s="37"/>
      <c r="AD22" s="37"/>
      <c r="AE22" s="38">
        <f t="shared" si="1"/>
        <v>12394.09395</v>
      </c>
      <c r="AF22" s="38">
        <f t="shared" si="2"/>
        <v>359428.72454999998</v>
      </c>
      <c r="AG22" s="38">
        <f t="shared" si="3"/>
        <v>4313144.6946</v>
      </c>
      <c r="AH22" s="38">
        <f t="shared" si="4"/>
        <v>123940.93949999999</v>
      </c>
      <c r="AI22" s="38">
        <f t="shared" si="5"/>
        <v>4437085.6341000004</v>
      </c>
      <c r="AJ22" s="40"/>
      <c r="AK22" s="40"/>
      <c r="AL22" s="31"/>
      <c r="AM22" s="31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</row>
    <row r="23" spans="1:210" s="58" customFormat="1" ht="18.95" customHeight="1">
      <c r="A23" s="34">
        <v>9</v>
      </c>
      <c r="B23" s="46" t="s">
        <v>89</v>
      </c>
      <c r="C23" s="47" t="s">
        <v>90</v>
      </c>
      <c r="D23" s="48" t="s">
        <v>91</v>
      </c>
      <c r="E23" s="49">
        <v>2</v>
      </c>
      <c r="F23" s="50" t="s">
        <v>92</v>
      </c>
      <c r="G23" s="48">
        <v>5.0199999999999996</v>
      </c>
      <c r="H23" s="51">
        <v>17697</v>
      </c>
      <c r="I23" s="52">
        <v>1.45</v>
      </c>
      <c r="J23" s="51"/>
      <c r="K23" s="51">
        <f t="shared" ref="K23:K86" si="7">H23*G23*E23*I23</f>
        <v>257632.92599999995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3"/>
      <c r="X23" s="53"/>
      <c r="Y23" s="53"/>
      <c r="Z23" s="54">
        <v>100</v>
      </c>
      <c r="AA23" s="53">
        <f t="shared" si="6"/>
        <v>300</v>
      </c>
      <c r="AB23" s="53">
        <f t="shared" ref="AB23:AB29" si="8">K23*AA23%</f>
        <v>772898.77799999982</v>
      </c>
      <c r="AC23" s="53"/>
      <c r="AD23" s="53"/>
      <c r="AE23" s="51">
        <f t="shared" ref="AE23:AE86" si="9">K23*0.1</f>
        <v>25763.292599999997</v>
      </c>
      <c r="AF23" s="51">
        <f t="shared" ref="AF23:AF86" si="10">K23+N23+O23+Q23+S23+U23+W23+Y23+AB23+AE23+AD23</f>
        <v>1056294.9965999997</v>
      </c>
      <c r="AG23" s="51">
        <f t="shared" ref="AG23:AG86" si="11">AF23*12</f>
        <v>12675539.959199997</v>
      </c>
      <c r="AH23" s="51">
        <f t="shared" ref="AH23:AH74" si="12">K23</f>
        <v>257632.92599999995</v>
      </c>
      <c r="AI23" s="51">
        <f t="shared" si="5"/>
        <v>12933172.885199996</v>
      </c>
      <c r="AJ23" s="55"/>
      <c r="AK23" s="55"/>
      <c r="AL23" s="56"/>
      <c r="AM23" s="56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</row>
    <row r="24" spans="1:210" s="58" customFormat="1" ht="18.95" customHeight="1">
      <c r="A24" s="34">
        <v>10</v>
      </c>
      <c r="B24" s="46" t="s">
        <v>89</v>
      </c>
      <c r="C24" s="47" t="s">
        <v>93</v>
      </c>
      <c r="D24" s="48" t="s">
        <v>91</v>
      </c>
      <c r="E24" s="49">
        <v>1</v>
      </c>
      <c r="F24" s="50" t="s">
        <v>92</v>
      </c>
      <c r="G24" s="48">
        <v>5.0199999999999996</v>
      </c>
      <c r="H24" s="51">
        <v>17697</v>
      </c>
      <c r="I24" s="52">
        <v>1.45</v>
      </c>
      <c r="J24" s="51"/>
      <c r="K24" s="51">
        <f t="shared" si="7"/>
        <v>128816.46299999997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3"/>
      <c r="X24" s="53"/>
      <c r="Y24" s="53"/>
      <c r="Z24" s="54">
        <v>100</v>
      </c>
      <c r="AA24" s="53">
        <f t="shared" si="6"/>
        <v>300</v>
      </c>
      <c r="AB24" s="53">
        <f t="shared" si="8"/>
        <v>386449.38899999991</v>
      </c>
      <c r="AC24" s="53"/>
      <c r="AD24" s="53"/>
      <c r="AE24" s="51">
        <f t="shared" si="9"/>
        <v>12881.646299999999</v>
      </c>
      <c r="AF24" s="51">
        <f t="shared" si="10"/>
        <v>528147.49829999986</v>
      </c>
      <c r="AG24" s="51">
        <f t="shared" si="11"/>
        <v>6337769.9795999983</v>
      </c>
      <c r="AH24" s="51">
        <f t="shared" si="12"/>
        <v>128816.46299999997</v>
      </c>
      <c r="AI24" s="51">
        <f t="shared" si="5"/>
        <v>6466586.4425999979</v>
      </c>
      <c r="AJ24" s="55"/>
      <c r="AK24" s="55"/>
      <c r="AL24" s="56"/>
      <c r="AM24" s="56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</row>
    <row r="25" spans="1:210" s="58" customFormat="1" ht="18.95" customHeight="1">
      <c r="A25" s="34">
        <v>11</v>
      </c>
      <c r="B25" s="46" t="s">
        <v>89</v>
      </c>
      <c r="C25" s="47" t="s">
        <v>94</v>
      </c>
      <c r="D25" s="48" t="s">
        <v>91</v>
      </c>
      <c r="E25" s="49">
        <v>1</v>
      </c>
      <c r="F25" s="50" t="s">
        <v>92</v>
      </c>
      <c r="G25" s="48">
        <v>5.0199999999999996</v>
      </c>
      <c r="H25" s="51">
        <v>17697</v>
      </c>
      <c r="I25" s="52">
        <v>1.45</v>
      </c>
      <c r="J25" s="51"/>
      <c r="K25" s="51">
        <f t="shared" si="7"/>
        <v>128816.46299999997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3"/>
      <c r="X25" s="53"/>
      <c r="Y25" s="53"/>
      <c r="Z25" s="54">
        <v>100</v>
      </c>
      <c r="AA25" s="53">
        <f t="shared" si="6"/>
        <v>300</v>
      </c>
      <c r="AB25" s="53">
        <f t="shared" si="8"/>
        <v>386449.38899999991</v>
      </c>
      <c r="AC25" s="53"/>
      <c r="AD25" s="53"/>
      <c r="AE25" s="51">
        <f t="shared" si="9"/>
        <v>12881.646299999999</v>
      </c>
      <c r="AF25" s="51">
        <f t="shared" si="10"/>
        <v>528147.49829999986</v>
      </c>
      <c r="AG25" s="51">
        <f t="shared" si="11"/>
        <v>6337769.9795999983</v>
      </c>
      <c r="AH25" s="51">
        <f t="shared" si="12"/>
        <v>128816.46299999997</v>
      </c>
      <c r="AI25" s="51">
        <f t="shared" si="5"/>
        <v>6466586.4425999979</v>
      </c>
      <c r="AJ25" s="55"/>
      <c r="AK25" s="55"/>
      <c r="AL25" s="56"/>
      <c r="AM25" s="56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</row>
    <row r="26" spans="1:210" s="58" customFormat="1" ht="18.95" customHeight="1">
      <c r="A26" s="34">
        <v>12</v>
      </c>
      <c r="B26" s="46" t="s">
        <v>89</v>
      </c>
      <c r="C26" s="47" t="s">
        <v>95</v>
      </c>
      <c r="D26" s="48" t="s">
        <v>91</v>
      </c>
      <c r="E26" s="49">
        <v>1</v>
      </c>
      <c r="F26" s="50" t="s">
        <v>92</v>
      </c>
      <c r="G26" s="48">
        <v>5.0199999999999996</v>
      </c>
      <c r="H26" s="51">
        <v>17697</v>
      </c>
      <c r="I26" s="52">
        <v>1.45</v>
      </c>
      <c r="J26" s="51"/>
      <c r="K26" s="51">
        <f t="shared" si="7"/>
        <v>128816.46299999997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3"/>
      <c r="X26" s="53"/>
      <c r="Y26" s="53"/>
      <c r="Z26" s="54">
        <v>100</v>
      </c>
      <c r="AA26" s="53">
        <f t="shared" si="6"/>
        <v>300</v>
      </c>
      <c r="AB26" s="53">
        <f t="shared" si="8"/>
        <v>386449.38899999991</v>
      </c>
      <c r="AC26" s="53"/>
      <c r="AD26" s="53"/>
      <c r="AE26" s="51">
        <f t="shared" si="9"/>
        <v>12881.646299999999</v>
      </c>
      <c r="AF26" s="51">
        <f t="shared" si="10"/>
        <v>528147.49829999986</v>
      </c>
      <c r="AG26" s="51">
        <f>AF26*12</f>
        <v>6337769.9795999983</v>
      </c>
      <c r="AH26" s="51">
        <f t="shared" si="12"/>
        <v>128816.46299999997</v>
      </c>
      <c r="AI26" s="51">
        <f t="shared" si="5"/>
        <v>6466586.4425999979</v>
      </c>
      <c r="AJ26" s="55"/>
      <c r="AK26" s="55"/>
      <c r="AL26" s="56"/>
      <c r="AM26" s="56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</row>
    <row r="27" spans="1:210" s="58" customFormat="1" ht="18.95" customHeight="1">
      <c r="A27" s="34">
        <v>13</v>
      </c>
      <c r="B27" s="46" t="s">
        <v>89</v>
      </c>
      <c r="C27" s="47" t="s">
        <v>96</v>
      </c>
      <c r="D27" s="48" t="s">
        <v>91</v>
      </c>
      <c r="E27" s="49">
        <v>1</v>
      </c>
      <c r="F27" s="50" t="s">
        <v>92</v>
      </c>
      <c r="G27" s="48">
        <v>5.0199999999999996</v>
      </c>
      <c r="H27" s="51">
        <v>17697</v>
      </c>
      <c r="I27" s="52">
        <v>1.45</v>
      </c>
      <c r="J27" s="51"/>
      <c r="K27" s="51">
        <f>H27*G27*E27*I27</f>
        <v>128816.46299999997</v>
      </c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3"/>
      <c r="X27" s="53"/>
      <c r="Y27" s="53"/>
      <c r="Z27" s="54">
        <v>100</v>
      </c>
      <c r="AA27" s="53">
        <f t="shared" si="6"/>
        <v>300</v>
      </c>
      <c r="AB27" s="53">
        <f>K27*AA27%</f>
        <v>386449.38899999991</v>
      </c>
      <c r="AC27" s="53"/>
      <c r="AD27" s="53"/>
      <c r="AE27" s="51">
        <f>K27*0.1</f>
        <v>12881.646299999999</v>
      </c>
      <c r="AF27" s="51">
        <f>K27+N27+O27+Q27+S27+U27+W27+Y27+AB27+AE27+AD27</f>
        <v>528147.49829999986</v>
      </c>
      <c r="AG27" s="51">
        <f>AF27*12</f>
        <v>6337769.9795999983</v>
      </c>
      <c r="AH27" s="51">
        <f>K27</f>
        <v>128816.46299999997</v>
      </c>
      <c r="AI27" s="51">
        <f t="shared" si="5"/>
        <v>6466586.4425999979</v>
      </c>
      <c r="AJ27" s="55" t="e">
        <f>#REF!</f>
        <v>#REF!</v>
      </c>
      <c r="AK27" s="55"/>
      <c r="AL27" s="56"/>
      <c r="AM27" s="56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</row>
    <row r="28" spans="1:210" s="58" customFormat="1" ht="37.5">
      <c r="A28" s="34">
        <v>14</v>
      </c>
      <c r="B28" s="46" t="s">
        <v>97</v>
      </c>
      <c r="C28" s="47" t="s">
        <v>98</v>
      </c>
      <c r="D28" s="48" t="s">
        <v>99</v>
      </c>
      <c r="E28" s="49">
        <v>1</v>
      </c>
      <c r="F28" s="59" t="s">
        <v>88</v>
      </c>
      <c r="G28" s="60">
        <v>6.33</v>
      </c>
      <c r="H28" s="61">
        <v>17697</v>
      </c>
      <c r="I28" s="52">
        <v>1.45</v>
      </c>
      <c r="J28" s="51"/>
      <c r="K28" s="51">
        <f t="shared" si="7"/>
        <v>162431.91449999998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62">
        <v>30</v>
      </c>
      <c r="W28" s="53">
        <f>H28*V28%</f>
        <v>5309.0999999999995</v>
      </c>
      <c r="X28" s="53"/>
      <c r="Y28" s="53"/>
      <c r="Z28" s="54">
        <v>100</v>
      </c>
      <c r="AA28" s="53">
        <f t="shared" si="6"/>
        <v>300</v>
      </c>
      <c r="AB28" s="53">
        <f t="shared" si="8"/>
        <v>487295.74349999998</v>
      </c>
      <c r="AC28" s="53"/>
      <c r="AD28" s="53"/>
      <c r="AE28" s="51">
        <f t="shared" si="9"/>
        <v>16243.191449999998</v>
      </c>
      <c r="AF28" s="51">
        <f t="shared" si="10"/>
        <v>671279.94944999996</v>
      </c>
      <c r="AG28" s="51">
        <f t="shared" si="11"/>
        <v>8055359.3933999995</v>
      </c>
      <c r="AH28" s="51">
        <f t="shared" si="12"/>
        <v>162431.91449999998</v>
      </c>
      <c r="AI28" s="51">
        <f t="shared" si="5"/>
        <v>8217791.3078999994</v>
      </c>
      <c r="AJ28" s="55"/>
      <c r="AK28" s="55"/>
      <c r="AL28" s="56"/>
      <c r="AM28" s="56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</row>
    <row r="29" spans="1:210" s="58" customFormat="1" ht="37.5">
      <c r="A29" s="34">
        <v>15</v>
      </c>
      <c r="B29" s="46" t="s">
        <v>100</v>
      </c>
      <c r="C29" s="47" t="s">
        <v>101</v>
      </c>
      <c r="D29" s="48" t="s">
        <v>99</v>
      </c>
      <c r="E29" s="49">
        <v>1</v>
      </c>
      <c r="F29" s="63" t="s">
        <v>76</v>
      </c>
      <c r="G29" s="48">
        <v>6.15</v>
      </c>
      <c r="H29" s="61">
        <v>17697</v>
      </c>
      <c r="I29" s="52">
        <v>1.45</v>
      </c>
      <c r="J29" s="51"/>
      <c r="K29" s="51">
        <f t="shared" si="7"/>
        <v>157812.9975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62">
        <v>30</v>
      </c>
      <c r="W29" s="53">
        <f>H29*V29%</f>
        <v>5309.0999999999995</v>
      </c>
      <c r="X29" s="53"/>
      <c r="Y29" s="53"/>
      <c r="Z29" s="54">
        <v>100</v>
      </c>
      <c r="AA29" s="53">
        <f t="shared" si="6"/>
        <v>300</v>
      </c>
      <c r="AB29" s="53">
        <f t="shared" si="8"/>
        <v>473438.99249999999</v>
      </c>
      <c r="AC29" s="53"/>
      <c r="AD29" s="53"/>
      <c r="AE29" s="51">
        <f t="shared" si="9"/>
        <v>15781.29975</v>
      </c>
      <c r="AF29" s="51">
        <f t="shared" si="10"/>
        <v>652342.38974999997</v>
      </c>
      <c r="AG29" s="51">
        <f>AF29*12</f>
        <v>7828108.6769999992</v>
      </c>
      <c r="AH29" s="51">
        <f t="shared" si="12"/>
        <v>157812.9975</v>
      </c>
      <c r="AI29" s="51">
        <f t="shared" si="5"/>
        <v>7985921.6744999988</v>
      </c>
      <c r="AJ29" s="55"/>
      <c r="AK29" s="55"/>
      <c r="AL29" s="56"/>
      <c r="AM29" s="56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</row>
    <row r="30" spans="1:210" s="58" customFormat="1">
      <c r="A30" s="34">
        <v>16</v>
      </c>
      <c r="B30" s="46" t="s">
        <v>102</v>
      </c>
      <c r="C30" s="47" t="s">
        <v>96</v>
      </c>
      <c r="D30" s="64" t="s">
        <v>91</v>
      </c>
      <c r="E30" s="49">
        <v>1</v>
      </c>
      <c r="F30" s="61" t="s">
        <v>103</v>
      </c>
      <c r="G30" s="48">
        <v>5.19</v>
      </c>
      <c r="H30" s="61">
        <v>17697</v>
      </c>
      <c r="I30" s="52">
        <v>1.45</v>
      </c>
      <c r="J30" s="51"/>
      <c r="K30" s="51">
        <f t="shared" si="7"/>
        <v>133178.77350000001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62">
        <v>30</v>
      </c>
      <c r="W30" s="53">
        <f>H30*V30%</f>
        <v>5309.0999999999995</v>
      </c>
      <c r="X30" s="53"/>
      <c r="Y30" s="53"/>
      <c r="Z30" s="53"/>
      <c r="AA30" s="53"/>
      <c r="AB30" s="53"/>
      <c r="AC30" s="53"/>
      <c r="AD30" s="53">
        <f>K30*AC30%</f>
        <v>0</v>
      </c>
      <c r="AE30" s="51">
        <f t="shared" si="9"/>
        <v>13317.877350000002</v>
      </c>
      <c r="AF30" s="51">
        <f t="shared" si="10"/>
        <v>151805.75085000001</v>
      </c>
      <c r="AG30" s="51">
        <f>AF30*12</f>
        <v>1821669.0102000001</v>
      </c>
      <c r="AH30" s="51">
        <f t="shared" si="12"/>
        <v>133178.77350000001</v>
      </c>
      <c r="AI30" s="51">
        <f t="shared" si="5"/>
        <v>1954847.7837</v>
      </c>
      <c r="AJ30" s="55"/>
      <c r="AK30" s="55"/>
      <c r="AL30" s="56"/>
      <c r="AM30" s="56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</row>
    <row r="31" spans="1:210" s="58" customFormat="1">
      <c r="A31" s="34">
        <v>17</v>
      </c>
      <c r="B31" s="46" t="s">
        <v>104</v>
      </c>
      <c r="C31" s="47" t="s">
        <v>96</v>
      </c>
      <c r="D31" s="64" t="s">
        <v>91</v>
      </c>
      <c r="E31" s="49">
        <v>1</v>
      </c>
      <c r="F31" s="61" t="s">
        <v>103</v>
      </c>
      <c r="G31" s="48">
        <v>5.19</v>
      </c>
      <c r="H31" s="61">
        <v>17697</v>
      </c>
      <c r="I31" s="52">
        <v>1.45</v>
      </c>
      <c r="J31" s="51"/>
      <c r="K31" s="51">
        <f t="shared" si="7"/>
        <v>133178.77350000001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62">
        <v>30</v>
      </c>
      <c r="W31" s="53">
        <f>H31*V31%</f>
        <v>5309.0999999999995</v>
      </c>
      <c r="X31" s="53"/>
      <c r="Y31" s="53"/>
      <c r="Z31" s="53"/>
      <c r="AA31" s="53"/>
      <c r="AB31" s="53"/>
      <c r="AC31" s="53"/>
      <c r="AD31" s="53">
        <f>K31*AC31%</f>
        <v>0</v>
      </c>
      <c r="AE31" s="51">
        <f t="shared" si="9"/>
        <v>13317.877350000002</v>
      </c>
      <c r="AF31" s="51">
        <f t="shared" si="10"/>
        <v>151805.75085000001</v>
      </c>
      <c r="AG31" s="51">
        <f t="shared" si="11"/>
        <v>1821669.0102000001</v>
      </c>
      <c r="AH31" s="51">
        <f t="shared" si="12"/>
        <v>133178.77350000001</v>
      </c>
      <c r="AI31" s="51">
        <f t="shared" si="5"/>
        <v>1954847.7837</v>
      </c>
      <c r="AJ31" s="55"/>
      <c r="AK31" s="55"/>
      <c r="AL31" s="56"/>
      <c r="AM31" s="56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</row>
    <row r="32" spans="1:210" s="58" customFormat="1">
      <c r="A32" s="34">
        <v>18</v>
      </c>
      <c r="B32" s="46" t="s">
        <v>102</v>
      </c>
      <c r="C32" s="47" t="s">
        <v>105</v>
      </c>
      <c r="D32" s="64" t="s">
        <v>91</v>
      </c>
      <c r="E32" s="49">
        <v>1</v>
      </c>
      <c r="F32" s="61" t="s">
        <v>106</v>
      </c>
      <c r="G32" s="48">
        <v>5.28</v>
      </c>
      <c r="H32" s="61">
        <v>17697</v>
      </c>
      <c r="I32" s="52">
        <v>1.45</v>
      </c>
      <c r="J32" s="51"/>
      <c r="K32" s="51">
        <f t="shared" si="7"/>
        <v>135488.23199999999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62">
        <v>30</v>
      </c>
      <c r="W32" s="53">
        <f t="shared" ref="W32:W39" si="13">H32*V32%</f>
        <v>5309.0999999999995</v>
      </c>
      <c r="X32" s="53"/>
      <c r="Y32" s="53"/>
      <c r="Z32" s="53"/>
      <c r="AA32" s="53"/>
      <c r="AB32" s="53"/>
      <c r="AC32" s="53">
        <v>230</v>
      </c>
      <c r="AD32" s="53">
        <f>K32*AC32%</f>
        <v>311622.93359999993</v>
      </c>
      <c r="AE32" s="51">
        <f t="shared" si="9"/>
        <v>13548.823199999999</v>
      </c>
      <c r="AF32" s="51">
        <f t="shared" si="10"/>
        <v>465969.08879999991</v>
      </c>
      <c r="AG32" s="51">
        <f t="shared" si="11"/>
        <v>5591629.0655999985</v>
      </c>
      <c r="AH32" s="51">
        <f t="shared" si="12"/>
        <v>135488.23199999999</v>
      </c>
      <c r="AI32" s="51">
        <f t="shared" si="5"/>
        <v>5727117.2975999983</v>
      </c>
      <c r="AJ32" s="55"/>
      <c r="AK32" s="55"/>
      <c r="AL32" s="56"/>
      <c r="AM32" s="56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</row>
    <row r="33" spans="1:210" s="58" customFormat="1" ht="37.5">
      <c r="A33" s="34">
        <v>19</v>
      </c>
      <c r="B33" s="46" t="s">
        <v>107</v>
      </c>
      <c r="C33" s="47" t="s">
        <v>108</v>
      </c>
      <c r="D33" s="48" t="s">
        <v>99</v>
      </c>
      <c r="E33" s="49">
        <v>1</v>
      </c>
      <c r="F33" s="59" t="s">
        <v>88</v>
      </c>
      <c r="G33" s="60">
        <v>6.33</v>
      </c>
      <c r="H33" s="61">
        <v>17697</v>
      </c>
      <c r="I33" s="52">
        <v>1.45</v>
      </c>
      <c r="J33" s="51"/>
      <c r="K33" s="51">
        <f t="shared" si="7"/>
        <v>162431.91449999998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62">
        <v>30</v>
      </c>
      <c r="W33" s="53">
        <f t="shared" si="13"/>
        <v>5309.0999999999995</v>
      </c>
      <c r="X33" s="53"/>
      <c r="Y33" s="53"/>
      <c r="Z33" s="54">
        <v>100</v>
      </c>
      <c r="AA33" s="53">
        <f>Z33*300%</f>
        <v>300</v>
      </c>
      <c r="AB33" s="53">
        <f>K33*AA33%</f>
        <v>487295.74349999998</v>
      </c>
      <c r="AC33" s="53"/>
      <c r="AD33" s="53"/>
      <c r="AE33" s="51">
        <f t="shared" si="9"/>
        <v>16243.191449999998</v>
      </c>
      <c r="AF33" s="51">
        <f t="shared" si="10"/>
        <v>671279.94944999996</v>
      </c>
      <c r="AG33" s="51">
        <f t="shared" si="11"/>
        <v>8055359.3933999995</v>
      </c>
      <c r="AH33" s="51">
        <f t="shared" si="12"/>
        <v>162431.91449999998</v>
      </c>
      <c r="AI33" s="51">
        <f t="shared" si="5"/>
        <v>8217791.3078999994</v>
      </c>
      <c r="AJ33" s="55"/>
      <c r="AK33" s="55"/>
      <c r="AL33" s="56"/>
      <c r="AM33" s="56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</row>
    <row r="34" spans="1:210" s="58" customFormat="1" ht="37.5">
      <c r="A34" s="34">
        <v>20</v>
      </c>
      <c r="B34" s="46" t="s">
        <v>109</v>
      </c>
      <c r="C34" s="47" t="s">
        <v>110</v>
      </c>
      <c r="D34" s="48" t="s">
        <v>99</v>
      </c>
      <c r="E34" s="49">
        <v>1</v>
      </c>
      <c r="F34" s="63" t="s">
        <v>76</v>
      </c>
      <c r="G34" s="48">
        <v>6.15</v>
      </c>
      <c r="H34" s="61">
        <v>17697</v>
      </c>
      <c r="I34" s="52">
        <v>1.45</v>
      </c>
      <c r="J34" s="51"/>
      <c r="K34" s="51">
        <f t="shared" si="7"/>
        <v>157812.9975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62">
        <v>30</v>
      </c>
      <c r="W34" s="53">
        <f t="shared" si="13"/>
        <v>5309.0999999999995</v>
      </c>
      <c r="X34" s="53"/>
      <c r="Y34" s="53"/>
      <c r="Z34" s="54">
        <v>100</v>
      </c>
      <c r="AA34" s="53">
        <f>Z34*300%</f>
        <v>300</v>
      </c>
      <c r="AB34" s="53">
        <f>K34*AA34%</f>
        <v>473438.99249999999</v>
      </c>
      <c r="AC34" s="53"/>
      <c r="AD34" s="53"/>
      <c r="AE34" s="51">
        <f t="shared" si="9"/>
        <v>15781.29975</v>
      </c>
      <c r="AF34" s="51">
        <f t="shared" si="10"/>
        <v>652342.38974999997</v>
      </c>
      <c r="AG34" s="51">
        <f>AF34*12</f>
        <v>7828108.6769999992</v>
      </c>
      <c r="AH34" s="51">
        <f t="shared" si="12"/>
        <v>157812.9975</v>
      </c>
      <c r="AI34" s="51">
        <f t="shared" si="5"/>
        <v>7985921.6744999988</v>
      </c>
      <c r="AJ34" s="55"/>
      <c r="AK34" s="55"/>
      <c r="AL34" s="56"/>
      <c r="AM34" s="56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</row>
    <row r="35" spans="1:210" s="58" customFormat="1" ht="18.95" customHeight="1">
      <c r="A35" s="34">
        <v>21</v>
      </c>
      <c r="B35" s="46" t="s">
        <v>111</v>
      </c>
      <c r="C35" s="47" t="s">
        <v>112</v>
      </c>
      <c r="D35" s="64" t="s">
        <v>91</v>
      </c>
      <c r="E35" s="49">
        <v>1</v>
      </c>
      <c r="F35" s="61" t="s">
        <v>106</v>
      </c>
      <c r="G35" s="48">
        <v>5.28</v>
      </c>
      <c r="H35" s="61">
        <v>17697</v>
      </c>
      <c r="I35" s="52">
        <v>1.45</v>
      </c>
      <c r="J35" s="51"/>
      <c r="K35" s="51">
        <f t="shared" si="7"/>
        <v>135488.23199999999</v>
      </c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62">
        <v>30</v>
      </c>
      <c r="W35" s="53">
        <f>H35*V35%</f>
        <v>5309.0999999999995</v>
      </c>
      <c r="X35" s="53"/>
      <c r="Y35" s="53"/>
      <c r="Z35" s="53"/>
      <c r="AA35" s="53"/>
      <c r="AB35" s="53"/>
      <c r="AC35" s="53">
        <v>160</v>
      </c>
      <c r="AD35" s="53">
        <f>K35*AC35%</f>
        <v>216781.17119999998</v>
      </c>
      <c r="AE35" s="51">
        <f t="shared" si="9"/>
        <v>13548.823199999999</v>
      </c>
      <c r="AF35" s="51">
        <f t="shared" si="10"/>
        <v>371127.32639999996</v>
      </c>
      <c r="AG35" s="51">
        <f>AF35*12</f>
        <v>4453527.9167999998</v>
      </c>
      <c r="AH35" s="51">
        <f t="shared" si="12"/>
        <v>135488.23199999999</v>
      </c>
      <c r="AI35" s="51">
        <f t="shared" si="5"/>
        <v>4589016.1487999996</v>
      </c>
      <c r="AJ35" s="55"/>
      <c r="AK35" s="55"/>
      <c r="AL35" s="56"/>
      <c r="AM35" s="56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</row>
    <row r="36" spans="1:210" s="58" customFormat="1" ht="18.95" customHeight="1">
      <c r="A36" s="34">
        <v>22</v>
      </c>
      <c r="B36" s="46" t="s">
        <v>111</v>
      </c>
      <c r="C36" s="47" t="s">
        <v>113</v>
      </c>
      <c r="D36" s="64" t="s">
        <v>91</v>
      </c>
      <c r="E36" s="49">
        <v>1</v>
      </c>
      <c r="F36" s="59" t="s">
        <v>88</v>
      </c>
      <c r="G36" s="60">
        <v>5.36</v>
      </c>
      <c r="H36" s="61">
        <v>17697</v>
      </c>
      <c r="I36" s="52">
        <v>1.45</v>
      </c>
      <c r="J36" s="51"/>
      <c r="K36" s="51">
        <f t="shared" si="7"/>
        <v>137541.084</v>
      </c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62">
        <v>30</v>
      </c>
      <c r="W36" s="53">
        <f>H36*V36%</f>
        <v>5309.0999999999995</v>
      </c>
      <c r="X36" s="53"/>
      <c r="Y36" s="53"/>
      <c r="Z36" s="53"/>
      <c r="AA36" s="53"/>
      <c r="AB36" s="53"/>
      <c r="AC36" s="53">
        <v>160</v>
      </c>
      <c r="AD36" s="53">
        <f>K36*AC36%</f>
        <v>220065.73440000002</v>
      </c>
      <c r="AE36" s="51">
        <f t="shared" si="9"/>
        <v>13754.108400000001</v>
      </c>
      <c r="AF36" s="51">
        <f t="shared" si="10"/>
        <v>376670.02679999999</v>
      </c>
      <c r="AG36" s="51">
        <f>AF36*12</f>
        <v>4520040.3215999994</v>
      </c>
      <c r="AH36" s="51">
        <f t="shared" si="12"/>
        <v>137541.084</v>
      </c>
      <c r="AI36" s="51">
        <f t="shared" si="5"/>
        <v>4657581.4055999992</v>
      </c>
      <c r="AJ36" s="55"/>
      <c r="AK36" s="55"/>
      <c r="AL36" s="56"/>
      <c r="AM36" s="56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</row>
    <row r="37" spans="1:210" s="58" customFormat="1" ht="18.95" customHeight="1">
      <c r="A37" s="34">
        <v>23</v>
      </c>
      <c r="B37" s="46" t="s">
        <v>111</v>
      </c>
      <c r="C37" s="47" t="s">
        <v>96</v>
      </c>
      <c r="D37" s="64" t="s">
        <v>91</v>
      </c>
      <c r="E37" s="49">
        <v>1</v>
      </c>
      <c r="F37" s="61" t="s">
        <v>106</v>
      </c>
      <c r="G37" s="48">
        <v>5.28</v>
      </c>
      <c r="H37" s="61">
        <v>17697</v>
      </c>
      <c r="I37" s="52">
        <v>1.45</v>
      </c>
      <c r="J37" s="51"/>
      <c r="K37" s="51">
        <f t="shared" si="7"/>
        <v>135488.23199999999</v>
      </c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62">
        <v>30</v>
      </c>
      <c r="W37" s="53">
        <f>H37*V37%</f>
        <v>5309.0999999999995</v>
      </c>
      <c r="X37" s="53"/>
      <c r="Y37" s="53"/>
      <c r="Z37" s="53"/>
      <c r="AA37" s="53"/>
      <c r="AB37" s="53"/>
      <c r="AC37" s="53"/>
      <c r="AD37" s="53">
        <f>K37*AC37%</f>
        <v>0</v>
      </c>
      <c r="AE37" s="51">
        <f t="shared" si="9"/>
        <v>13548.823199999999</v>
      </c>
      <c r="AF37" s="51">
        <f t="shared" si="10"/>
        <v>154346.15519999998</v>
      </c>
      <c r="AG37" s="51">
        <f>AF37*12</f>
        <v>1852153.8623999998</v>
      </c>
      <c r="AH37" s="51">
        <f t="shared" si="12"/>
        <v>135488.23199999999</v>
      </c>
      <c r="AI37" s="51">
        <f t="shared" si="5"/>
        <v>1987642.0943999998</v>
      </c>
      <c r="AJ37" s="55"/>
      <c r="AK37" s="55"/>
      <c r="AL37" s="56"/>
      <c r="AM37" s="56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</row>
    <row r="38" spans="1:210" s="58" customFormat="1" ht="37.5">
      <c r="A38" s="34">
        <v>24</v>
      </c>
      <c r="B38" s="46" t="s">
        <v>114</v>
      </c>
      <c r="C38" s="47" t="s">
        <v>115</v>
      </c>
      <c r="D38" s="48" t="s">
        <v>99</v>
      </c>
      <c r="E38" s="49">
        <v>1</v>
      </c>
      <c r="F38" s="59" t="s">
        <v>88</v>
      </c>
      <c r="G38" s="60">
        <v>6.33</v>
      </c>
      <c r="H38" s="61">
        <v>17697</v>
      </c>
      <c r="I38" s="52">
        <v>1.45</v>
      </c>
      <c r="J38" s="51"/>
      <c r="K38" s="51">
        <f t="shared" si="7"/>
        <v>162431.91449999998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62">
        <v>30</v>
      </c>
      <c r="W38" s="53">
        <f t="shared" si="13"/>
        <v>5309.0999999999995</v>
      </c>
      <c r="X38" s="53"/>
      <c r="Y38" s="53"/>
      <c r="Z38" s="54">
        <v>100</v>
      </c>
      <c r="AA38" s="53">
        <f>Z38*300%</f>
        <v>300</v>
      </c>
      <c r="AB38" s="53">
        <f>K38*AA38%</f>
        <v>487295.74349999998</v>
      </c>
      <c r="AC38" s="53"/>
      <c r="AD38" s="53"/>
      <c r="AE38" s="51">
        <f t="shared" si="9"/>
        <v>16243.191449999998</v>
      </c>
      <c r="AF38" s="51">
        <f t="shared" si="10"/>
        <v>671279.94944999996</v>
      </c>
      <c r="AG38" s="51">
        <f t="shared" si="11"/>
        <v>8055359.3933999995</v>
      </c>
      <c r="AH38" s="51">
        <f t="shared" si="12"/>
        <v>162431.91449999998</v>
      </c>
      <c r="AI38" s="51">
        <f t="shared" si="5"/>
        <v>8217791.3078999994</v>
      </c>
      <c r="AJ38" s="55"/>
      <c r="AK38" s="55"/>
      <c r="AL38" s="56"/>
      <c r="AM38" s="56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</row>
    <row r="39" spans="1:210" s="58" customFormat="1" ht="37.5">
      <c r="A39" s="34">
        <v>25</v>
      </c>
      <c r="B39" s="46" t="s">
        <v>116</v>
      </c>
      <c r="C39" s="47" t="s">
        <v>117</v>
      </c>
      <c r="D39" s="48" t="s">
        <v>99</v>
      </c>
      <c r="E39" s="49">
        <v>1</v>
      </c>
      <c r="F39" s="63" t="s">
        <v>76</v>
      </c>
      <c r="G39" s="48">
        <v>6.15</v>
      </c>
      <c r="H39" s="61">
        <v>17697</v>
      </c>
      <c r="I39" s="52">
        <v>1.45</v>
      </c>
      <c r="J39" s="51"/>
      <c r="K39" s="51">
        <f t="shared" si="7"/>
        <v>157812.9975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62">
        <v>30</v>
      </c>
      <c r="W39" s="53">
        <f t="shared" si="13"/>
        <v>5309.0999999999995</v>
      </c>
      <c r="X39" s="53"/>
      <c r="Y39" s="53"/>
      <c r="Z39" s="54">
        <v>100</v>
      </c>
      <c r="AA39" s="53">
        <f>Z39*300%</f>
        <v>300</v>
      </c>
      <c r="AB39" s="53">
        <f>K39*AA39%</f>
        <v>473438.99249999999</v>
      </c>
      <c r="AC39" s="53"/>
      <c r="AD39" s="53"/>
      <c r="AE39" s="51">
        <f t="shared" si="9"/>
        <v>15781.29975</v>
      </c>
      <c r="AF39" s="51">
        <f t="shared" si="10"/>
        <v>652342.38974999997</v>
      </c>
      <c r="AG39" s="51">
        <f>AF39*12</f>
        <v>7828108.6769999992</v>
      </c>
      <c r="AH39" s="51">
        <f t="shared" si="12"/>
        <v>157812.9975</v>
      </c>
      <c r="AI39" s="51">
        <f t="shared" si="5"/>
        <v>7985921.6744999988</v>
      </c>
      <c r="AJ39" s="55"/>
      <c r="AK39" s="55"/>
      <c r="AL39" s="56"/>
      <c r="AM39" s="56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</row>
    <row r="40" spans="1:210" s="58" customFormat="1" ht="18.95" customHeight="1">
      <c r="A40" s="34">
        <v>26</v>
      </c>
      <c r="B40" s="46" t="s">
        <v>118</v>
      </c>
      <c r="C40" s="47" t="s">
        <v>119</v>
      </c>
      <c r="D40" s="64" t="s">
        <v>91</v>
      </c>
      <c r="E40" s="49">
        <v>1</v>
      </c>
      <c r="F40" s="61" t="s">
        <v>106</v>
      </c>
      <c r="G40" s="48">
        <v>5.28</v>
      </c>
      <c r="H40" s="61">
        <v>17697</v>
      </c>
      <c r="I40" s="52">
        <v>1.45</v>
      </c>
      <c r="J40" s="51"/>
      <c r="K40" s="51">
        <f t="shared" si="7"/>
        <v>135488.23199999999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62">
        <v>30</v>
      </c>
      <c r="W40" s="62">
        <f>V40%*H40</f>
        <v>5309.0999999999995</v>
      </c>
      <c r="X40" s="53"/>
      <c r="Y40" s="53"/>
      <c r="Z40" s="53"/>
      <c r="AA40" s="53"/>
      <c r="AB40" s="53"/>
      <c r="AC40" s="53">
        <v>110</v>
      </c>
      <c r="AD40" s="53">
        <f>K40*AC40%</f>
        <v>149037.0552</v>
      </c>
      <c r="AE40" s="51">
        <f t="shared" si="9"/>
        <v>13548.823199999999</v>
      </c>
      <c r="AF40" s="51">
        <f t="shared" si="10"/>
        <v>303383.21039999998</v>
      </c>
      <c r="AG40" s="51">
        <f t="shared" si="11"/>
        <v>3640598.5247999998</v>
      </c>
      <c r="AH40" s="51">
        <f t="shared" si="12"/>
        <v>135488.23199999999</v>
      </c>
      <c r="AI40" s="51">
        <f t="shared" si="5"/>
        <v>3776086.7567999996</v>
      </c>
      <c r="AJ40" s="55"/>
      <c r="AK40" s="55"/>
      <c r="AL40" s="56"/>
      <c r="AM40" s="56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</row>
    <row r="41" spans="1:210" s="58" customFormat="1" ht="18.95" customHeight="1">
      <c r="A41" s="34">
        <v>27</v>
      </c>
      <c r="B41" s="46" t="s">
        <v>118</v>
      </c>
      <c r="C41" s="47" t="s">
        <v>120</v>
      </c>
      <c r="D41" s="64" t="s">
        <v>91</v>
      </c>
      <c r="E41" s="49">
        <v>1</v>
      </c>
      <c r="F41" s="61" t="s">
        <v>106</v>
      </c>
      <c r="G41" s="48">
        <v>5.28</v>
      </c>
      <c r="H41" s="61">
        <v>17697</v>
      </c>
      <c r="I41" s="52">
        <v>1.45</v>
      </c>
      <c r="J41" s="51"/>
      <c r="K41" s="51">
        <f t="shared" si="7"/>
        <v>135488.23199999999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62">
        <v>30</v>
      </c>
      <c r="W41" s="62">
        <f>V41%*H41</f>
        <v>5309.0999999999995</v>
      </c>
      <c r="X41" s="53"/>
      <c r="Y41" s="53"/>
      <c r="Z41" s="53"/>
      <c r="AA41" s="53"/>
      <c r="AB41" s="53"/>
      <c r="AC41" s="53">
        <v>110</v>
      </c>
      <c r="AD41" s="53">
        <f>K41*AC41%</f>
        <v>149037.0552</v>
      </c>
      <c r="AE41" s="51">
        <f t="shared" si="9"/>
        <v>13548.823199999999</v>
      </c>
      <c r="AF41" s="51">
        <f t="shared" si="10"/>
        <v>303383.21039999998</v>
      </c>
      <c r="AG41" s="51">
        <f>AF41*12</f>
        <v>3640598.5247999998</v>
      </c>
      <c r="AH41" s="51">
        <f t="shared" si="12"/>
        <v>135488.23199999999</v>
      </c>
      <c r="AI41" s="51">
        <f t="shared" si="5"/>
        <v>3776086.7567999996</v>
      </c>
      <c r="AJ41" s="55"/>
      <c r="AK41" s="55"/>
      <c r="AL41" s="56"/>
      <c r="AM41" s="56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</row>
    <row r="42" spans="1:210" s="58" customFormat="1" ht="18.95" customHeight="1">
      <c r="A42" s="34">
        <v>28</v>
      </c>
      <c r="B42" s="46" t="s">
        <v>121</v>
      </c>
      <c r="C42" s="47" t="s">
        <v>122</v>
      </c>
      <c r="D42" s="48" t="s">
        <v>99</v>
      </c>
      <c r="E42" s="49">
        <v>1</v>
      </c>
      <c r="F42" s="59" t="s">
        <v>88</v>
      </c>
      <c r="G42" s="60">
        <v>6.33</v>
      </c>
      <c r="H42" s="61">
        <v>17697</v>
      </c>
      <c r="I42" s="52">
        <v>1.45</v>
      </c>
      <c r="J42" s="51"/>
      <c r="K42" s="51">
        <f t="shared" si="7"/>
        <v>162431.91449999998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62">
        <v>30</v>
      </c>
      <c r="W42" s="53">
        <f t="shared" ref="W42:W56" si="14">H42*V42%</f>
        <v>5309.0999999999995</v>
      </c>
      <c r="X42" s="53"/>
      <c r="Y42" s="53"/>
      <c r="Z42" s="54">
        <v>100</v>
      </c>
      <c r="AA42" s="53">
        <f>Z42*300%</f>
        <v>300</v>
      </c>
      <c r="AB42" s="53">
        <f>K42*AA42%</f>
        <v>487295.74349999998</v>
      </c>
      <c r="AC42" s="53"/>
      <c r="AD42" s="53"/>
      <c r="AE42" s="51">
        <f t="shared" si="9"/>
        <v>16243.191449999998</v>
      </c>
      <c r="AF42" s="51">
        <f t="shared" si="10"/>
        <v>671279.94944999996</v>
      </c>
      <c r="AG42" s="51">
        <f t="shared" si="11"/>
        <v>8055359.3933999995</v>
      </c>
      <c r="AH42" s="51">
        <f t="shared" si="12"/>
        <v>162431.91449999998</v>
      </c>
      <c r="AI42" s="51">
        <f t="shared" si="5"/>
        <v>8217791.3078999994</v>
      </c>
      <c r="AJ42" s="55"/>
      <c r="AK42" s="55"/>
      <c r="AL42" s="56"/>
      <c r="AM42" s="56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</row>
    <row r="43" spans="1:210" s="58" customFormat="1" ht="18.95" customHeight="1">
      <c r="A43" s="34">
        <v>29</v>
      </c>
      <c r="B43" s="46" t="s">
        <v>123</v>
      </c>
      <c r="C43" s="47" t="s">
        <v>124</v>
      </c>
      <c r="D43" s="48" t="s">
        <v>99</v>
      </c>
      <c r="E43" s="49">
        <v>1</v>
      </c>
      <c r="F43" s="63" t="s">
        <v>76</v>
      </c>
      <c r="G43" s="48">
        <v>6.15</v>
      </c>
      <c r="H43" s="61">
        <v>17697</v>
      </c>
      <c r="I43" s="52">
        <v>1.45</v>
      </c>
      <c r="J43" s="51"/>
      <c r="K43" s="51">
        <f t="shared" si="7"/>
        <v>157812.9975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62">
        <v>30</v>
      </c>
      <c r="W43" s="53">
        <f t="shared" si="14"/>
        <v>5309.0999999999995</v>
      </c>
      <c r="X43" s="53"/>
      <c r="Y43" s="53"/>
      <c r="Z43" s="54">
        <v>100</v>
      </c>
      <c r="AA43" s="53">
        <f>Z43*300%</f>
        <v>300</v>
      </c>
      <c r="AB43" s="53">
        <f>K43*AA43%</f>
        <v>473438.99249999999</v>
      </c>
      <c r="AC43" s="53"/>
      <c r="AD43" s="53"/>
      <c r="AE43" s="51">
        <f t="shared" si="9"/>
        <v>15781.29975</v>
      </c>
      <c r="AF43" s="51">
        <f t="shared" si="10"/>
        <v>652342.38974999997</v>
      </c>
      <c r="AG43" s="51">
        <f t="shared" si="11"/>
        <v>7828108.6769999992</v>
      </c>
      <c r="AH43" s="51">
        <f t="shared" si="12"/>
        <v>157812.9975</v>
      </c>
      <c r="AI43" s="51">
        <f t="shared" si="5"/>
        <v>7985921.6744999988</v>
      </c>
      <c r="AJ43" s="55"/>
      <c r="AK43" s="55"/>
      <c r="AL43" s="56"/>
      <c r="AM43" s="56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</row>
    <row r="44" spans="1:210" s="58" customFormat="1" ht="18.95" customHeight="1">
      <c r="A44" s="34">
        <v>30</v>
      </c>
      <c r="B44" s="46" t="s">
        <v>125</v>
      </c>
      <c r="C44" s="47" t="s">
        <v>126</v>
      </c>
      <c r="D44" s="48" t="s">
        <v>99</v>
      </c>
      <c r="E44" s="49">
        <v>1</v>
      </c>
      <c r="F44" s="63" t="s">
        <v>76</v>
      </c>
      <c r="G44" s="48">
        <v>6.15</v>
      </c>
      <c r="H44" s="61">
        <v>17697</v>
      </c>
      <c r="I44" s="52">
        <v>1.45</v>
      </c>
      <c r="J44" s="51"/>
      <c r="K44" s="51">
        <f t="shared" si="7"/>
        <v>157812.9975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62">
        <v>30</v>
      </c>
      <c r="W44" s="53">
        <f t="shared" si="14"/>
        <v>5309.0999999999995</v>
      </c>
      <c r="X44" s="53"/>
      <c r="Y44" s="53"/>
      <c r="Z44" s="54">
        <v>100</v>
      </c>
      <c r="AA44" s="53">
        <f>Z44*300%</f>
        <v>300</v>
      </c>
      <c r="AB44" s="53">
        <f>K44*AA44%</f>
        <v>473438.99249999999</v>
      </c>
      <c r="AC44" s="53"/>
      <c r="AD44" s="53"/>
      <c r="AE44" s="51">
        <f t="shared" si="9"/>
        <v>15781.29975</v>
      </c>
      <c r="AF44" s="51">
        <f t="shared" si="10"/>
        <v>652342.38974999997</v>
      </c>
      <c r="AG44" s="51">
        <f t="shared" si="11"/>
        <v>7828108.6769999992</v>
      </c>
      <c r="AH44" s="51">
        <f t="shared" si="12"/>
        <v>157812.9975</v>
      </c>
      <c r="AI44" s="51">
        <f t="shared" si="5"/>
        <v>7985921.6744999988</v>
      </c>
      <c r="AJ44" s="55"/>
      <c r="AK44" s="55"/>
      <c r="AL44" s="56"/>
      <c r="AM44" s="56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</row>
    <row r="45" spans="1:210" s="58" customFormat="1" ht="18.95" customHeight="1">
      <c r="A45" s="34">
        <v>31</v>
      </c>
      <c r="B45" s="65" t="s">
        <v>127</v>
      </c>
      <c r="C45" s="47" t="s">
        <v>128</v>
      </c>
      <c r="D45" s="64" t="s">
        <v>91</v>
      </c>
      <c r="E45" s="66">
        <v>1</v>
      </c>
      <c r="F45" s="61" t="s">
        <v>103</v>
      </c>
      <c r="G45" s="48">
        <v>5.19</v>
      </c>
      <c r="H45" s="61">
        <v>17697</v>
      </c>
      <c r="I45" s="52">
        <v>1.45</v>
      </c>
      <c r="J45" s="51"/>
      <c r="K45" s="51">
        <f t="shared" si="7"/>
        <v>133178.77350000001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62">
        <v>30</v>
      </c>
      <c r="W45" s="53">
        <f>H45*V45%</f>
        <v>5309.0999999999995</v>
      </c>
      <c r="X45" s="53"/>
      <c r="Y45" s="53"/>
      <c r="Z45" s="53"/>
      <c r="AA45" s="53"/>
      <c r="AB45" s="53"/>
      <c r="AC45" s="53">
        <v>140</v>
      </c>
      <c r="AD45" s="53">
        <f>K45*AC45%</f>
        <v>186450.28289999999</v>
      </c>
      <c r="AE45" s="51">
        <f t="shared" si="9"/>
        <v>13317.877350000002</v>
      </c>
      <c r="AF45" s="51">
        <f t="shared" si="10"/>
        <v>338256.03375</v>
      </c>
      <c r="AG45" s="51">
        <f>AF45*12</f>
        <v>4059072.4050000003</v>
      </c>
      <c r="AH45" s="51">
        <f t="shared" si="12"/>
        <v>133178.77350000001</v>
      </c>
      <c r="AI45" s="51">
        <f t="shared" si="5"/>
        <v>4192251.1785000004</v>
      </c>
      <c r="AJ45" s="55"/>
      <c r="AK45" s="55"/>
      <c r="AL45" s="56"/>
      <c r="AM45" s="56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</row>
    <row r="46" spans="1:210" s="58" customFormat="1" ht="18.95" customHeight="1">
      <c r="A46" s="34">
        <v>32</v>
      </c>
      <c r="B46" s="46" t="s">
        <v>129</v>
      </c>
      <c r="C46" s="47" t="s">
        <v>130</v>
      </c>
      <c r="D46" s="64" t="s">
        <v>91</v>
      </c>
      <c r="E46" s="49">
        <v>1</v>
      </c>
      <c r="F46" s="61" t="s">
        <v>103</v>
      </c>
      <c r="G46" s="48">
        <v>5.19</v>
      </c>
      <c r="H46" s="61">
        <v>17697</v>
      </c>
      <c r="I46" s="52">
        <v>1.45</v>
      </c>
      <c r="J46" s="51"/>
      <c r="K46" s="51">
        <f t="shared" si="7"/>
        <v>133178.77350000001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62">
        <v>30</v>
      </c>
      <c r="W46" s="53">
        <f>H46*V46%</f>
        <v>5309.0999999999995</v>
      </c>
      <c r="X46" s="53"/>
      <c r="Y46" s="53"/>
      <c r="Z46" s="53"/>
      <c r="AA46" s="53"/>
      <c r="AB46" s="53"/>
      <c r="AC46" s="53">
        <v>140</v>
      </c>
      <c r="AD46" s="53">
        <f>K46*AC46%</f>
        <v>186450.28289999999</v>
      </c>
      <c r="AE46" s="51">
        <f t="shared" si="9"/>
        <v>13317.877350000002</v>
      </c>
      <c r="AF46" s="51">
        <f t="shared" si="10"/>
        <v>338256.03375</v>
      </c>
      <c r="AG46" s="51">
        <f>AF46*12</f>
        <v>4059072.4050000003</v>
      </c>
      <c r="AH46" s="51">
        <f t="shared" si="12"/>
        <v>133178.77350000001</v>
      </c>
      <c r="AI46" s="51">
        <f t="shared" si="5"/>
        <v>4192251.1785000004</v>
      </c>
      <c r="AJ46" s="55"/>
      <c r="AK46" s="55"/>
      <c r="AL46" s="56"/>
      <c r="AM46" s="56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</row>
    <row r="47" spans="1:210" s="58" customFormat="1" ht="18.95" customHeight="1">
      <c r="A47" s="34">
        <v>33</v>
      </c>
      <c r="B47" s="65" t="s">
        <v>131</v>
      </c>
      <c r="C47" s="65" t="s">
        <v>132</v>
      </c>
      <c r="D47" s="64" t="s">
        <v>91</v>
      </c>
      <c r="E47" s="66">
        <v>1</v>
      </c>
      <c r="F47" s="61" t="s">
        <v>103</v>
      </c>
      <c r="G47" s="48">
        <v>5.19</v>
      </c>
      <c r="H47" s="61">
        <v>17697</v>
      </c>
      <c r="I47" s="52">
        <v>1.45</v>
      </c>
      <c r="J47" s="51"/>
      <c r="K47" s="51">
        <f t="shared" si="7"/>
        <v>133178.77350000001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62">
        <v>30</v>
      </c>
      <c r="W47" s="53">
        <f>H47*V47%</f>
        <v>5309.0999999999995</v>
      </c>
      <c r="X47" s="53"/>
      <c r="Y47" s="53"/>
      <c r="Z47" s="53"/>
      <c r="AA47" s="53"/>
      <c r="AB47" s="53"/>
      <c r="AC47" s="53">
        <v>140</v>
      </c>
      <c r="AD47" s="53">
        <f>K47*AC47%</f>
        <v>186450.28289999999</v>
      </c>
      <c r="AE47" s="51">
        <f t="shared" si="9"/>
        <v>13317.877350000002</v>
      </c>
      <c r="AF47" s="51">
        <f t="shared" si="10"/>
        <v>338256.03375</v>
      </c>
      <c r="AG47" s="51">
        <f>AF47*12</f>
        <v>4059072.4050000003</v>
      </c>
      <c r="AH47" s="51">
        <f t="shared" si="12"/>
        <v>133178.77350000001</v>
      </c>
      <c r="AI47" s="51">
        <f t="shared" si="5"/>
        <v>4192251.1785000004</v>
      </c>
      <c r="AJ47" s="55"/>
      <c r="AK47" s="55"/>
      <c r="AL47" s="56"/>
      <c r="AM47" s="56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</row>
    <row r="48" spans="1:210" s="58" customFormat="1" ht="18.95" customHeight="1">
      <c r="A48" s="34">
        <v>34</v>
      </c>
      <c r="B48" s="46" t="s">
        <v>133</v>
      </c>
      <c r="C48" s="47" t="s">
        <v>134</v>
      </c>
      <c r="D48" s="64" t="s">
        <v>91</v>
      </c>
      <c r="E48" s="49">
        <v>1</v>
      </c>
      <c r="F48" s="61" t="s">
        <v>106</v>
      </c>
      <c r="G48" s="48">
        <v>5.28</v>
      </c>
      <c r="H48" s="61">
        <v>17697</v>
      </c>
      <c r="I48" s="52">
        <v>1.45</v>
      </c>
      <c r="J48" s="51"/>
      <c r="K48" s="51">
        <f t="shared" si="7"/>
        <v>135488.23199999999</v>
      </c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62">
        <v>30</v>
      </c>
      <c r="W48" s="53">
        <f>H48*V48%</f>
        <v>5309.0999999999995</v>
      </c>
      <c r="X48" s="53"/>
      <c r="Y48" s="53"/>
      <c r="Z48" s="53"/>
      <c r="AA48" s="53"/>
      <c r="AB48" s="53"/>
      <c r="AC48" s="53">
        <v>140</v>
      </c>
      <c r="AD48" s="53">
        <f>K48*AC48%</f>
        <v>189683.52479999998</v>
      </c>
      <c r="AE48" s="51">
        <f t="shared" si="9"/>
        <v>13548.823199999999</v>
      </c>
      <c r="AF48" s="51">
        <f t="shared" si="10"/>
        <v>344029.67999999993</v>
      </c>
      <c r="AG48" s="51">
        <f>AF48*12</f>
        <v>4128356.1599999992</v>
      </c>
      <c r="AH48" s="51">
        <f t="shared" si="12"/>
        <v>135488.23199999999</v>
      </c>
      <c r="AI48" s="51">
        <f t="shared" si="5"/>
        <v>4263844.3919999991</v>
      </c>
      <c r="AJ48" s="55"/>
      <c r="AK48" s="55"/>
      <c r="AL48" s="56"/>
      <c r="AM48" s="56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</row>
    <row r="49" spans="1:210" s="58" customFormat="1" ht="18.95" customHeight="1">
      <c r="A49" s="34">
        <v>35</v>
      </c>
      <c r="B49" s="46" t="s">
        <v>135</v>
      </c>
      <c r="C49" s="47" t="s">
        <v>136</v>
      </c>
      <c r="D49" s="48" t="s">
        <v>99</v>
      </c>
      <c r="E49" s="66">
        <v>1</v>
      </c>
      <c r="F49" s="59" t="s">
        <v>88</v>
      </c>
      <c r="G49" s="60">
        <v>6.33</v>
      </c>
      <c r="H49" s="61">
        <v>17697</v>
      </c>
      <c r="I49" s="52">
        <v>1.45</v>
      </c>
      <c r="J49" s="51"/>
      <c r="K49" s="51">
        <f t="shared" si="7"/>
        <v>162431.91449999998</v>
      </c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62">
        <v>30</v>
      </c>
      <c r="W49" s="53">
        <f t="shared" si="14"/>
        <v>5309.0999999999995</v>
      </c>
      <c r="X49" s="53"/>
      <c r="Y49" s="53"/>
      <c r="Z49" s="54">
        <v>100</v>
      </c>
      <c r="AA49" s="53">
        <f t="shared" ref="AA49:AA56" si="15">Z49*300%</f>
        <v>300</v>
      </c>
      <c r="AB49" s="53">
        <f t="shared" ref="AB49:AB56" si="16">K49*AA49%</f>
        <v>487295.74349999998</v>
      </c>
      <c r="AC49" s="53"/>
      <c r="AD49" s="53"/>
      <c r="AE49" s="51">
        <f t="shared" si="9"/>
        <v>16243.191449999998</v>
      </c>
      <c r="AF49" s="51">
        <f t="shared" si="10"/>
        <v>671279.94944999996</v>
      </c>
      <c r="AG49" s="51">
        <f t="shared" si="11"/>
        <v>8055359.3933999995</v>
      </c>
      <c r="AH49" s="51">
        <f t="shared" si="12"/>
        <v>162431.91449999998</v>
      </c>
      <c r="AI49" s="51">
        <f t="shared" si="5"/>
        <v>8217791.3078999994</v>
      </c>
      <c r="AJ49" s="55"/>
      <c r="AK49" s="55"/>
      <c r="AL49" s="56"/>
      <c r="AM49" s="56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</row>
    <row r="50" spans="1:210" s="58" customFormat="1" ht="18.95" customHeight="1">
      <c r="A50" s="34">
        <v>36</v>
      </c>
      <c r="B50" s="46" t="s">
        <v>137</v>
      </c>
      <c r="C50" s="47" t="s">
        <v>138</v>
      </c>
      <c r="D50" s="48" t="s">
        <v>99</v>
      </c>
      <c r="E50" s="67">
        <v>0.5</v>
      </c>
      <c r="F50" s="63" t="s">
        <v>76</v>
      </c>
      <c r="G50" s="48">
        <v>6.15</v>
      </c>
      <c r="H50" s="61">
        <v>17697</v>
      </c>
      <c r="I50" s="52">
        <v>1.45</v>
      </c>
      <c r="J50" s="51"/>
      <c r="K50" s="51">
        <f t="shared" si="7"/>
        <v>78906.498749999999</v>
      </c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62">
        <v>30</v>
      </c>
      <c r="W50" s="53">
        <f t="shared" si="14"/>
        <v>5309.0999999999995</v>
      </c>
      <c r="X50" s="53"/>
      <c r="Y50" s="53"/>
      <c r="Z50" s="54">
        <v>100</v>
      </c>
      <c r="AA50" s="53">
        <f t="shared" si="15"/>
        <v>300</v>
      </c>
      <c r="AB50" s="53">
        <f t="shared" si="16"/>
        <v>236719.49625</v>
      </c>
      <c r="AC50" s="53"/>
      <c r="AD50" s="53"/>
      <c r="AE50" s="51">
        <f t="shared" si="9"/>
        <v>7890.6498750000001</v>
      </c>
      <c r="AF50" s="51">
        <f t="shared" si="10"/>
        <v>328825.74487499997</v>
      </c>
      <c r="AG50" s="51">
        <f t="shared" si="11"/>
        <v>3945908.9384999997</v>
      </c>
      <c r="AH50" s="51">
        <f t="shared" si="12"/>
        <v>78906.498749999999</v>
      </c>
      <c r="AI50" s="51">
        <f t="shared" si="5"/>
        <v>4024815.4372499995</v>
      </c>
      <c r="AJ50" s="55"/>
      <c r="AK50" s="55"/>
      <c r="AL50" s="56"/>
      <c r="AM50" s="56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</row>
    <row r="51" spans="1:210" s="58" customFormat="1" ht="18.95" customHeight="1">
      <c r="A51" s="34">
        <v>37</v>
      </c>
      <c r="B51" s="46" t="s">
        <v>139</v>
      </c>
      <c r="C51" s="47" t="s">
        <v>138</v>
      </c>
      <c r="D51" s="64" t="s">
        <v>91</v>
      </c>
      <c r="E51" s="67">
        <v>0.5</v>
      </c>
      <c r="F51" s="61" t="s">
        <v>106</v>
      </c>
      <c r="G51" s="48">
        <v>5.28</v>
      </c>
      <c r="H51" s="61">
        <v>17697</v>
      </c>
      <c r="I51" s="52">
        <v>1.45</v>
      </c>
      <c r="J51" s="51"/>
      <c r="K51" s="51">
        <f>H51*G51*E51*I51</f>
        <v>67744.115999999995</v>
      </c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62">
        <v>30</v>
      </c>
      <c r="W51" s="53">
        <f>H51*V51%</f>
        <v>5309.0999999999995</v>
      </c>
      <c r="X51" s="53"/>
      <c r="Y51" s="53"/>
      <c r="Z51" s="53"/>
      <c r="AA51" s="53"/>
      <c r="AB51" s="53"/>
      <c r="AC51" s="53">
        <v>140</v>
      </c>
      <c r="AD51" s="53">
        <f>K51*AC51%</f>
        <v>94841.762399999992</v>
      </c>
      <c r="AE51" s="51">
        <f>K51*0.1</f>
        <v>6774.4115999999995</v>
      </c>
      <c r="AF51" s="51">
        <f>K51+N51+O51+Q51+S51+U51+W51+Y51+AB51+AE51+AD51</f>
        <v>174669.39</v>
      </c>
      <c r="AG51" s="51">
        <f>AF51*12</f>
        <v>2096032.6800000002</v>
      </c>
      <c r="AH51" s="51">
        <f>K51</f>
        <v>67744.115999999995</v>
      </c>
      <c r="AI51" s="51">
        <f t="shared" si="5"/>
        <v>2163776.7960000001</v>
      </c>
      <c r="AJ51" s="55"/>
      <c r="AK51" s="55"/>
      <c r="AL51" s="56"/>
      <c r="AM51" s="56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</row>
    <row r="52" spans="1:210" s="58" customFormat="1" ht="18.95" customHeight="1">
      <c r="A52" s="34">
        <v>38</v>
      </c>
      <c r="B52" s="46" t="s">
        <v>140</v>
      </c>
      <c r="C52" s="47" t="s">
        <v>141</v>
      </c>
      <c r="D52" s="48" t="s">
        <v>99</v>
      </c>
      <c r="E52" s="49">
        <v>1</v>
      </c>
      <c r="F52" s="63" t="s">
        <v>76</v>
      </c>
      <c r="G52" s="48">
        <v>6.15</v>
      </c>
      <c r="H52" s="61">
        <v>17697</v>
      </c>
      <c r="I52" s="52">
        <v>1.45</v>
      </c>
      <c r="J52" s="51"/>
      <c r="K52" s="51">
        <f t="shared" si="7"/>
        <v>157812.9975</v>
      </c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62">
        <v>30</v>
      </c>
      <c r="W52" s="53">
        <f t="shared" si="14"/>
        <v>5309.0999999999995</v>
      </c>
      <c r="X52" s="53"/>
      <c r="Y52" s="53"/>
      <c r="Z52" s="54">
        <v>100</v>
      </c>
      <c r="AA52" s="53">
        <f t="shared" si="15"/>
        <v>300</v>
      </c>
      <c r="AB52" s="53">
        <f t="shared" si="16"/>
        <v>473438.99249999999</v>
      </c>
      <c r="AC52" s="53"/>
      <c r="AD52" s="53"/>
      <c r="AE52" s="51">
        <f t="shared" si="9"/>
        <v>15781.29975</v>
      </c>
      <c r="AF52" s="51">
        <f t="shared" si="10"/>
        <v>652342.38974999997</v>
      </c>
      <c r="AG52" s="51">
        <f t="shared" si="11"/>
        <v>7828108.6769999992</v>
      </c>
      <c r="AH52" s="51">
        <f t="shared" si="12"/>
        <v>157812.9975</v>
      </c>
      <c r="AI52" s="51">
        <f t="shared" si="5"/>
        <v>7985921.6744999988</v>
      </c>
      <c r="AJ52" s="55"/>
      <c r="AK52" s="55"/>
      <c r="AL52" s="56"/>
      <c r="AM52" s="56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</row>
    <row r="53" spans="1:210" s="58" customFormat="1" ht="18.95" customHeight="1">
      <c r="A53" s="34">
        <v>39</v>
      </c>
      <c r="B53" s="46" t="s">
        <v>142</v>
      </c>
      <c r="C53" s="47" t="s">
        <v>143</v>
      </c>
      <c r="D53" s="48" t="s">
        <v>99</v>
      </c>
      <c r="E53" s="49">
        <v>1</v>
      </c>
      <c r="F53" s="59" t="s">
        <v>88</v>
      </c>
      <c r="G53" s="60">
        <v>6.33</v>
      </c>
      <c r="H53" s="61">
        <v>17697</v>
      </c>
      <c r="I53" s="52">
        <v>1.45</v>
      </c>
      <c r="J53" s="51"/>
      <c r="K53" s="51">
        <f t="shared" si="7"/>
        <v>162431.91449999998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62">
        <v>30</v>
      </c>
      <c r="W53" s="53">
        <f t="shared" si="14"/>
        <v>5309.0999999999995</v>
      </c>
      <c r="X53" s="53"/>
      <c r="Y53" s="53"/>
      <c r="Z53" s="54">
        <v>100</v>
      </c>
      <c r="AA53" s="53">
        <f t="shared" si="15"/>
        <v>300</v>
      </c>
      <c r="AB53" s="53">
        <f t="shared" si="16"/>
        <v>487295.74349999998</v>
      </c>
      <c r="AC53" s="53"/>
      <c r="AD53" s="53"/>
      <c r="AE53" s="51">
        <f t="shared" si="9"/>
        <v>16243.191449999998</v>
      </c>
      <c r="AF53" s="51">
        <f t="shared" si="10"/>
        <v>671279.94944999996</v>
      </c>
      <c r="AG53" s="51">
        <f t="shared" si="11"/>
        <v>8055359.3933999995</v>
      </c>
      <c r="AH53" s="51">
        <f t="shared" si="12"/>
        <v>162431.91449999998</v>
      </c>
      <c r="AI53" s="51">
        <f t="shared" si="5"/>
        <v>8217791.3078999994</v>
      </c>
      <c r="AJ53" s="55"/>
      <c r="AK53" s="55"/>
      <c r="AL53" s="56"/>
      <c r="AM53" s="56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</row>
    <row r="54" spans="1:210" s="58" customFormat="1" ht="18.95" customHeight="1">
      <c r="A54" s="34">
        <v>40</v>
      </c>
      <c r="B54" s="46" t="s">
        <v>144</v>
      </c>
      <c r="C54" s="47" t="s">
        <v>145</v>
      </c>
      <c r="D54" s="48" t="s">
        <v>99</v>
      </c>
      <c r="E54" s="49">
        <v>1</v>
      </c>
      <c r="F54" s="59" t="s">
        <v>88</v>
      </c>
      <c r="G54" s="60">
        <v>6.33</v>
      </c>
      <c r="H54" s="61">
        <v>17697</v>
      </c>
      <c r="I54" s="52">
        <v>1.45</v>
      </c>
      <c r="J54" s="51"/>
      <c r="K54" s="51">
        <f t="shared" si="7"/>
        <v>162431.91449999998</v>
      </c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62">
        <v>30</v>
      </c>
      <c r="W54" s="53">
        <f>H54*V54%</f>
        <v>5309.0999999999995</v>
      </c>
      <c r="X54" s="53"/>
      <c r="Y54" s="53"/>
      <c r="Z54" s="54">
        <v>100</v>
      </c>
      <c r="AA54" s="53">
        <f>Z54*300%</f>
        <v>300</v>
      </c>
      <c r="AB54" s="53">
        <f>K54*AA54%</f>
        <v>487295.74349999998</v>
      </c>
      <c r="AC54" s="53"/>
      <c r="AD54" s="53"/>
      <c r="AE54" s="51">
        <f t="shared" si="9"/>
        <v>16243.191449999998</v>
      </c>
      <c r="AF54" s="51">
        <f t="shared" si="10"/>
        <v>671279.94944999996</v>
      </c>
      <c r="AG54" s="51">
        <f>AF54*12</f>
        <v>8055359.3933999995</v>
      </c>
      <c r="AH54" s="51">
        <f t="shared" si="12"/>
        <v>162431.91449999998</v>
      </c>
      <c r="AI54" s="51">
        <f t="shared" si="5"/>
        <v>8217791.3078999994</v>
      </c>
      <c r="AJ54" s="55"/>
      <c r="AK54" s="55"/>
      <c r="AL54" s="56"/>
      <c r="AM54" s="56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</row>
    <row r="55" spans="1:210" s="58" customFormat="1" ht="18.95" customHeight="1">
      <c r="A55" s="34">
        <v>41</v>
      </c>
      <c r="B55" s="46" t="s">
        <v>146</v>
      </c>
      <c r="C55" s="47" t="s">
        <v>147</v>
      </c>
      <c r="D55" s="48" t="s">
        <v>99</v>
      </c>
      <c r="E55" s="49">
        <v>1</v>
      </c>
      <c r="F55" s="63" t="s">
        <v>76</v>
      </c>
      <c r="G55" s="48">
        <v>6.15</v>
      </c>
      <c r="H55" s="61">
        <v>17697</v>
      </c>
      <c r="I55" s="52">
        <v>1.45</v>
      </c>
      <c r="J55" s="51"/>
      <c r="K55" s="51">
        <f t="shared" si="7"/>
        <v>157812.9975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62">
        <v>30</v>
      </c>
      <c r="W55" s="53">
        <f t="shared" si="14"/>
        <v>5309.0999999999995</v>
      </c>
      <c r="X55" s="53"/>
      <c r="Y55" s="53"/>
      <c r="Z55" s="54">
        <v>100</v>
      </c>
      <c r="AA55" s="53">
        <f t="shared" si="15"/>
        <v>300</v>
      </c>
      <c r="AB55" s="53">
        <f t="shared" si="16"/>
        <v>473438.99249999999</v>
      </c>
      <c r="AC55" s="53"/>
      <c r="AD55" s="53"/>
      <c r="AE55" s="51">
        <f t="shared" si="9"/>
        <v>15781.29975</v>
      </c>
      <c r="AF55" s="51">
        <f t="shared" si="10"/>
        <v>652342.38974999997</v>
      </c>
      <c r="AG55" s="51">
        <f t="shared" si="11"/>
        <v>7828108.6769999992</v>
      </c>
      <c r="AH55" s="51">
        <f t="shared" si="12"/>
        <v>157812.9975</v>
      </c>
      <c r="AI55" s="51">
        <f t="shared" si="5"/>
        <v>7985921.6744999988</v>
      </c>
      <c r="AJ55" s="55"/>
      <c r="AK55" s="55"/>
      <c r="AL55" s="56"/>
      <c r="AM55" s="56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</row>
    <row r="56" spans="1:210" s="58" customFormat="1" ht="18.95" customHeight="1">
      <c r="A56" s="34">
        <v>42</v>
      </c>
      <c r="B56" s="46" t="s">
        <v>148</v>
      </c>
      <c r="C56" s="47" t="s">
        <v>149</v>
      </c>
      <c r="D56" s="48" t="s">
        <v>99</v>
      </c>
      <c r="E56" s="49">
        <v>1</v>
      </c>
      <c r="F56" s="63" t="s">
        <v>76</v>
      </c>
      <c r="G56" s="48">
        <v>6.15</v>
      </c>
      <c r="H56" s="61">
        <v>17697</v>
      </c>
      <c r="I56" s="52">
        <v>1.45</v>
      </c>
      <c r="J56" s="51"/>
      <c r="K56" s="51">
        <f t="shared" si="7"/>
        <v>157812.9975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62">
        <v>30</v>
      </c>
      <c r="W56" s="53">
        <f t="shared" si="14"/>
        <v>5309.0999999999995</v>
      </c>
      <c r="X56" s="53"/>
      <c r="Y56" s="53"/>
      <c r="Z56" s="54">
        <v>100</v>
      </c>
      <c r="AA56" s="53">
        <f t="shared" si="15"/>
        <v>300</v>
      </c>
      <c r="AB56" s="53">
        <f t="shared" si="16"/>
        <v>473438.99249999999</v>
      </c>
      <c r="AC56" s="53"/>
      <c r="AD56" s="53"/>
      <c r="AE56" s="51">
        <f t="shared" si="9"/>
        <v>15781.29975</v>
      </c>
      <c r="AF56" s="51">
        <f t="shared" si="10"/>
        <v>652342.38974999997</v>
      </c>
      <c r="AG56" s="51">
        <f t="shared" si="11"/>
        <v>7828108.6769999992</v>
      </c>
      <c r="AH56" s="51">
        <f t="shared" si="12"/>
        <v>157812.9975</v>
      </c>
      <c r="AI56" s="51">
        <f t="shared" si="5"/>
        <v>7985921.6744999988</v>
      </c>
      <c r="AJ56" s="55"/>
      <c r="AK56" s="55"/>
      <c r="AL56" s="56"/>
      <c r="AM56" s="56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</row>
    <row r="57" spans="1:210" s="19" customFormat="1" ht="18.95" customHeight="1">
      <c r="A57" s="34">
        <v>43</v>
      </c>
      <c r="B57" s="68" t="s">
        <v>150</v>
      </c>
      <c r="C57" s="69"/>
      <c r="D57" s="70" t="s">
        <v>151</v>
      </c>
      <c r="E57" s="49">
        <v>1</v>
      </c>
      <c r="F57" s="71" t="s">
        <v>88</v>
      </c>
      <c r="G57" s="71">
        <v>6.46</v>
      </c>
      <c r="H57" s="54">
        <v>17697</v>
      </c>
      <c r="I57" s="39">
        <v>1.45</v>
      </c>
      <c r="J57" s="38"/>
      <c r="K57" s="38">
        <f t="shared" si="7"/>
        <v>165767.799</v>
      </c>
      <c r="L57" s="38">
        <v>1</v>
      </c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>
        <v>80</v>
      </c>
      <c r="AA57" s="37">
        <f>Z57*300%</f>
        <v>240</v>
      </c>
      <c r="AB57" s="37">
        <f>K57*AA57%</f>
        <v>397842.71759999997</v>
      </c>
      <c r="AC57" s="37"/>
      <c r="AD57" s="37"/>
      <c r="AE57" s="38">
        <f t="shared" si="9"/>
        <v>16576.779900000001</v>
      </c>
      <c r="AF57" s="38">
        <f t="shared" si="10"/>
        <v>580187.29649999994</v>
      </c>
      <c r="AG57" s="38">
        <f t="shared" si="11"/>
        <v>6962247.5579999993</v>
      </c>
      <c r="AH57" s="38">
        <f t="shared" si="12"/>
        <v>165767.799</v>
      </c>
      <c r="AI57" s="38">
        <f t="shared" si="5"/>
        <v>7128015.3569999989</v>
      </c>
      <c r="AJ57" s="30"/>
      <c r="AK57" s="30"/>
      <c r="AL57" s="31"/>
      <c r="AM57" s="31"/>
    </row>
    <row r="58" spans="1:210" s="19" customFormat="1" ht="18.95" customHeight="1">
      <c r="A58" s="34">
        <v>44</v>
      </c>
      <c r="B58" s="68" t="s">
        <v>152</v>
      </c>
      <c r="C58" s="69"/>
      <c r="D58" s="70" t="s">
        <v>153</v>
      </c>
      <c r="E58" s="49">
        <v>1</v>
      </c>
      <c r="F58" s="34" t="s">
        <v>106</v>
      </c>
      <c r="G58" s="34">
        <v>5.96</v>
      </c>
      <c r="H58" s="54">
        <v>17697</v>
      </c>
      <c r="I58" s="39">
        <v>1.45</v>
      </c>
      <c r="J58" s="38"/>
      <c r="K58" s="38">
        <f t="shared" si="7"/>
        <v>152937.47399999999</v>
      </c>
      <c r="L58" s="38">
        <v>1</v>
      </c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>
        <v>70</v>
      </c>
      <c r="AA58" s="37">
        <f>Z58*300%</f>
        <v>210</v>
      </c>
      <c r="AB58" s="37">
        <f>K58*AA58%</f>
        <v>321168.69539999997</v>
      </c>
      <c r="AC58" s="37"/>
      <c r="AD58" s="37"/>
      <c r="AE58" s="38">
        <f t="shared" si="9"/>
        <v>15293.7474</v>
      </c>
      <c r="AF58" s="38">
        <f t="shared" si="10"/>
        <v>489399.91679999995</v>
      </c>
      <c r="AG58" s="38">
        <f t="shared" si="11"/>
        <v>5872799.0015999991</v>
      </c>
      <c r="AH58" s="38">
        <f t="shared" si="12"/>
        <v>152937.47399999999</v>
      </c>
      <c r="AI58" s="38">
        <f t="shared" si="5"/>
        <v>6025736.4755999995</v>
      </c>
      <c r="AJ58" s="30"/>
      <c r="AK58" s="30"/>
      <c r="AL58" s="31"/>
      <c r="AM58" s="31"/>
    </row>
    <row r="59" spans="1:210" s="26" customFormat="1" ht="39" customHeight="1">
      <c r="A59" s="34">
        <v>45</v>
      </c>
      <c r="B59" s="35" t="s">
        <v>154</v>
      </c>
      <c r="C59" s="35"/>
      <c r="D59" s="70" t="s">
        <v>73</v>
      </c>
      <c r="E59" s="49">
        <v>1</v>
      </c>
      <c r="F59" s="70" t="s">
        <v>106</v>
      </c>
      <c r="G59" s="70">
        <v>4.71</v>
      </c>
      <c r="H59" s="45">
        <v>17697</v>
      </c>
      <c r="I59" s="39">
        <v>1.45</v>
      </c>
      <c r="J59" s="38"/>
      <c r="K59" s="38">
        <f t="shared" si="7"/>
        <v>120861.66149999999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>
        <v>70</v>
      </c>
      <c r="AA59" s="37">
        <f>Z59*300%</f>
        <v>210</v>
      </c>
      <c r="AB59" s="37">
        <f>K59*AA59%</f>
        <v>253809.48914999998</v>
      </c>
      <c r="AC59" s="37"/>
      <c r="AD59" s="37"/>
      <c r="AE59" s="38">
        <f t="shared" si="9"/>
        <v>12086.166149999999</v>
      </c>
      <c r="AF59" s="38">
        <f>K59+N59+O59+Q59+S59+U59+W59+Y59+AB59+AE59+AD59</f>
        <v>386757.31679999997</v>
      </c>
      <c r="AG59" s="38">
        <f t="shared" si="11"/>
        <v>4641087.8015999999</v>
      </c>
      <c r="AH59" s="38">
        <f t="shared" si="12"/>
        <v>120861.66149999999</v>
      </c>
      <c r="AI59" s="38">
        <f t="shared" si="5"/>
        <v>4761949.4631000003</v>
      </c>
      <c r="AJ59" s="40"/>
      <c r="AK59" s="40"/>
      <c r="AL59" s="31"/>
      <c r="AM59" s="31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</row>
    <row r="60" spans="1:210" s="19" customFormat="1" ht="18.95" customHeight="1">
      <c r="A60" s="34">
        <v>46</v>
      </c>
      <c r="B60" s="68" t="s">
        <v>155</v>
      </c>
      <c r="C60" s="69"/>
      <c r="D60" s="70" t="s">
        <v>73</v>
      </c>
      <c r="E60" s="72">
        <v>1</v>
      </c>
      <c r="F60" s="70" t="s">
        <v>106</v>
      </c>
      <c r="G60" s="70">
        <v>4.71</v>
      </c>
      <c r="H60" s="54">
        <v>17697</v>
      </c>
      <c r="I60" s="39">
        <v>1.45</v>
      </c>
      <c r="J60" s="54">
        <f>H60*G60*E60*I60</f>
        <v>120861.66149999999</v>
      </c>
      <c r="K60" s="38">
        <f t="shared" si="7"/>
        <v>120861.66149999999</v>
      </c>
      <c r="L60" s="38"/>
      <c r="M60" s="38"/>
      <c r="N60" s="38"/>
      <c r="O60" s="38"/>
      <c r="P60" s="38"/>
      <c r="Q60" s="38"/>
      <c r="R60" s="38">
        <v>25</v>
      </c>
      <c r="S60" s="38">
        <f>E60*H60*R60%</f>
        <v>4424.25</v>
      </c>
      <c r="T60" s="38"/>
      <c r="U60" s="38"/>
      <c r="V60" s="38"/>
      <c r="W60" s="38"/>
      <c r="X60" s="38"/>
      <c r="Y60" s="38"/>
      <c r="Z60" s="38">
        <v>70</v>
      </c>
      <c r="AA60" s="37">
        <f>Z60*300%</f>
        <v>210</v>
      </c>
      <c r="AB60" s="37">
        <f>K60*AA60%</f>
        <v>253809.48914999998</v>
      </c>
      <c r="AC60" s="37"/>
      <c r="AD60" s="37"/>
      <c r="AE60" s="38">
        <f t="shared" si="9"/>
        <v>12086.166149999999</v>
      </c>
      <c r="AF60" s="38">
        <f t="shared" si="10"/>
        <v>391181.56679999997</v>
      </c>
      <c r="AG60" s="38">
        <f t="shared" si="11"/>
        <v>4694178.8015999999</v>
      </c>
      <c r="AH60" s="38">
        <f t="shared" si="12"/>
        <v>120861.66149999999</v>
      </c>
      <c r="AI60" s="38">
        <f t="shared" si="5"/>
        <v>4815040.4631000003</v>
      </c>
      <c r="AJ60" s="30"/>
      <c r="AK60" s="30"/>
      <c r="AL60" s="31"/>
      <c r="AM60" s="31"/>
    </row>
    <row r="61" spans="1:210" s="19" customFormat="1" ht="39" customHeight="1">
      <c r="A61" s="34">
        <v>47</v>
      </c>
      <c r="B61" s="68" t="s">
        <v>156</v>
      </c>
      <c r="C61" s="73"/>
      <c r="D61" s="70" t="s">
        <v>73</v>
      </c>
      <c r="E61" s="72">
        <v>4</v>
      </c>
      <c r="F61" s="34" t="s">
        <v>78</v>
      </c>
      <c r="G61" s="36">
        <v>4.51</v>
      </c>
      <c r="H61" s="54">
        <v>17697</v>
      </c>
      <c r="I61" s="39">
        <v>1.45</v>
      </c>
      <c r="J61" s="54">
        <f>H61*G61*E61*I61</f>
        <v>462918.12599999999</v>
      </c>
      <c r="K61" s="38">
        <f t="shared" si="7"/>
        <v>462918.12599999999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>
        <v>70</v>
      </c>
      <c r="AA61" s="37">
        <f>Z61*300%</f>
        <v>210</v>
      </c>
      <c r="AB61" s="37">
        <f>K61*AA61%</f>
        <v>972128.06460000004</v>
      </c>
      <c r="AC61" s="37"/>
      <c r="AD61" s="37"/>
      <c r="AE61" s="38">
        <f t="shared" si="9"/>
        <v>46291.812600000005</v>
      </c>
      <c r="AF61" s="38">
        <f t="shared" si="10"/>
        <v>1481338.0032000002</v>
      </c>
      <c r="AG61" s="38">
        <f t="shared" si="11"/>
        <v>17776056.038400002</v>
      </c>
      <c r="AH61" s="38">
        <f t="shared" si="12"/>
        <v>462918.12599999999</v>
      </c>
      <c r="AI61" s="38">
        <f t="shared" si="5"/>
        <v>18238974.1644</v>
      </c>
      <c r="AJ61" s="30"/>
      <c r="AK61" s="30"/>
      <c r="AL61" s="31"/>
      <c r="AM61" s="31"/>
    </row>
    <row r="62" spans="1:210" s="19" customFormat="1" ht="37.5" customHeight="1">
      <c r="A62" s="34">
        <v>48</v>
      </c>
      <c r="B62" s="68" t="s">
        <v>157</v>
      </c>
      <c r="C62" s="73"/>
      <c r="D62" s="36" t="s">
        <v>73</v>
      </c>
      <c r="E62" s="72">
        <v>4</v>
      </c>
      <c r="F62" s="71" t="s">
        <v>103</v>
      </c>
      <c r="G62" s="70">
        <v>4.6100000000000003</v>
      </c>
      <c r="H62" s="54">
        <v>17697</v>
      </c>
      <c r="I62" s="39">
        <v>1.45</v>
      </c>
      <c r="J62" s="54">
        <f>H62*G62*E62*I62</f>
        <v>473182.38600000006</v>
      </c>
      <c r="K62" s="38">
        <f t="shared" si="7"/>
        <v>473182.38600000006</v>
      </c>
      <c r="L62" s="38"/>
      <c r="M62" s="38"/>
      <c r="N62" s="38">
        <f>K62/164*0.5*58</f>
        <v>83672.495085365867</v>
      </c>
      <c r="O62" s="38">
        <f>K62/164*0.5*2.67</f>
        <v>3851.8200323780493</v>
      </c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7"/>
      <c r="AC62" s="37"/>
      <c r="AD62" s="37"/>
      <c r="AE62" s="38">
        <f t="shared" si="9"/>
        <v>47318.238600000012</v>
      </c>
      <c r="AF62" s="38">
        <f t="shared" si="10"/>
        <v>608024.93971774401</v>
      </c>
      <c r="AG62" s="38">
        <f t="shared" si="11"/>
        <v>7296299.2766129281</v>
      </c>
      <c r="AH62" s="38">
        <f t="shared" si="12"/>
        <v>473182.38600000006</v>
      </c>
      <c r="AI62" s="38">
        <f t="shared" si="5"/>
        <v>7769481.6626129281</v>
      </c>
      <c r="AJ62" s="30"/>
      <c r="AK62" s="30"/>
      <c r="AL62" s="31"/>
      <c r="AM62" s="31"/>
    </row>
    <row r="63" spans="1:210" s="19" customFormat="1" ht="47.25" customHeight="1">
      <c r="A63" s="34">
        <v>49</v>
      </c>
      <c r="B63" s="68" t="s">
        <v>158</v>
      </c>
      <c r="C63" s="73"/>
      <c r="D63" s="74">
        <v>6</v>
      </c>
      <c r="E63" s="72">
        <v>4</v>
      </c>
      <c r="F63" s="71"/>
      <c r="G63" s="71">
        <v>2.96</v>
      </c>
      <c r="H63" s="54">
        <v>17697</v>
      </c>
      <c r="I63" s="39">
        <v>1.45</v>
      </c>
      <c r="J63" s="54">
        <f>H63*G63*E63*I63</f>
        <v>303822.09600000002</v>
      </c>
      <c r="K63" s="38">
        <f t="shared" si="7"/>
        <v>303822.09600000002</v>
      </c>
      <c r="L63" s="38"/>
      <c r="M63" s="38"/>
      <c r="N63" s="38">
        <f>K63/164*0.5*58</f>
        <v>53724.63892682927</v>
      </c>
      <c r="O63" s="38">
        <f>K63/164*0.5*2.67</f>
        <v>2473.185964390244</v>
      </c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7"/>
      <c r="AC63" s="37"/>
      <c r="AD63" s="37"/>
      <c r="AE63" s="38">
        <f t="shared" si="9"/>
        <v>30382.209600000002</v>
      </c>
      <c r="AF63" s="38">
        <f t="shared" si="10"/>
        <v>390402.13049121952</v>
      </c>
      <c r="AG63" s="38">
        <f t="shared" si="11"/>
        <v>4684825.5658946345</v>
      </c>
      <c r="AH63" s="38">
        <f t="shared" si="12"/>
        <v>303822.09600000002</v>
      </c>
      <c r="AI63" s="38">
        <f t="shared" si="5"/>
        <v>4988647.6618946344</v>
      </c>
      <c r="AJ63" s="30"/>
      <c r="AK63" s="30"/>
      <c r="AL63" s="31"/>
      <c r="AM63" s="31"/>
    </row>
    <row r="64" spans="1:210" s="19" customFormat="1" ht="37.5" customHeight="1">
      <c r="A64" s="34">
        <v>50</v>
      </c>
      <c r="B64" s="68" t="s">
        <v>159</v>
      </c>
      <c r="C64" s="69"/>
      <c r="D64" s="70" t="s">
        <v>73</v>
      </c>
      <c r="E64" s="72">
        <v>1</v>
      </c>
      <c r="F64" s="34" t="s">
        <v>80</v>
      </c>
      <c r="G64" s="36">
        <v>4.46</v>
      </c>
      <c r="H64" s="54">
        <v>17697</v>
      </c>
      <c r="I64" s="39">
        <v>1.45</v>
      </c>
      <c r="J64" s="38"/>
      <c r="K64" s="38">
        <f t="shared" si="7"/>
        <v>114446.499</v>
      </c>
      <c r="L64" s="38"/>
      <c r="M64" s="38"/>
      <c r="N64" s="38"/>
      <c r="O64" s="38"/>
      <c r="P64" s="38"/>
      <c r="Q64" s="38"/>
      <c r="R64" s="38">
        <v>25</v>
      </c>
      <c r="S64" s="38">
        <f>E64*H64*R64%</f>
        <v>4424.25</v>
      </c>
      <c r="T64" s="38"/>
      <c r="U64" s="38"/>
      <c r="V64" s="38"/>
      <c r="W64" s="38"/>
      <c r="X64" s="38"/>
      <c r="Y64" s="38"/>
      <c r="Z64" s="38">
        <v>70</v>
      </c>
      <c r="AA64" s="37">
        <f>Z64*300%</f>
        <v>210</v>
      </c>
      <c r="AB64" s="37">
        <f>K64*AA64%</f>
        <v>240337.64790000001</v>
      </c>
      <c r="AC64" s="37"/>
      <c r="AD64" s="37"/>
      <c r="AE64" s="38">
        <f t="shared" si="9"/>
        <v>11444.6499</v>
      </c>
      <c r="AF64" s="38">
        <f t="shared" si="10"/>
        <v>370653.04680000001</v>
      </c>
      <c r="AG64" s="38">
        <f t="shared" si="11"/>
        <v>4447836.5615999997</v>
      </c>
      <c r="AH64" s="38">
        <f t="shared" si="12"/>
        <v>114446.499</v>
      </c>
      <c r="AI64" s="38">
        <f t="shared" si="5"/>
        <v>4562283.0605999995</v>
      </c>
      <c r="AJ64" s="30"/>
      <c r="AK64" s="30"/>
      <c r="AL64" s="31"/>
      <c r="AM64" s="31"/>
    </row>
    <row r="65" spans="1:210" s="19" customFormat="1" ht="18.95" customHeight="1">
      <c r="A65" s="34">
        <v>51</v>
      </c>
      <c r="B65" s="68" t="s">
        <v>160</v>
      </c>
      <c r="C65" s="69"/>
      <c r="D65" s="70" t="s">
        <v>73</v>
      </c>
      <c r="E65" s="72">
        <v>4</v>
      </c>
      <c r="F65" s="34" t="s">
        <v>80</v>
      </c>
      <c r="G65" s="36">
        <v>4.46</v>
      </c>
      <c r="H65" s="54">
        <v>17697</v>
      </c>
      <c r="I65" s="39">
        <v>1.45</v>
      </c>
      <c r="J65" s="54">
        <f t="shared" ref="J65:J77" si="17">H65*G65*E65*I65</f>
        <v>457785.99599999998</v>
      </c>
      <c r="K65" s="38">
        <f t="shared" si="7"/>
        <v>457785.99599999998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>
        <v>70</v>
      </c>
      <c r="AA65" s="37">
        <f>Z65*300%</f>
        <v>210</v>
      </c>
      <c r="AB65" s="37">
        <f>K65*AA65%</f>
        <v>961350.59160000004</v>
      </c>
      <c r="AC65" s="37"/>
      <c r="AD65" s="37"/>
      <c r="AE65" s="38">
        <f t="shared" si="9"/>
        <v>45778.599600000001</v>
      </c>
      <c r="AF65" s="38">
        <f t="shared" si="10"/>
        <v>1464915.1872</v>
      </c>
      <c r="AG65" s="38">
        <f t="shared" si="11"/>
        <v>17578982.246399999</v>
      </c>
      <c r="AH65" s="38">
        <f t="shared" si="12"/>
        <v>457785.99599999998</v>
      </c>
      <c r="AI65" s="38">
        <f t="shared" si="5"/>
        <v>18036768.242399998</v>
      </c>
      <c r="AJ65" s="30"/>
      <c r="AK65" s="30"/>
      <c r="AL65" s="31"/>
      <c r="AM65" s="31"/>
    </row>
    <row r="66" spans="1:210" s="19" customFormat="1" ht="37.5" customHeight="1">
      <c r="A66" s="34">
        <v>52</v>
      </c>
      <c r="B66" s="68" t="s">
        <v>161</v>
      </c>
      <c r="C66" s="69"/>
      <c r="D66" s="70" t="s">
        <v>73</v>
      </c>
      <c r="E66" s="72">
        <v>4</v>
      </c>
      <c r="F66" s="34" t="s">
        <v>162</v>
      </c>
      <c r="G66" s="36">
        <v>4.2300000000000004</v>
      </c>
      <c r="H66" s="54">
        <v>17697</v>
      </c>
      <c r="I66" s="39">
        <v>1.45</v>
      </c>
      <c r="J66" s="54">
        <f t="shared" si="17"/>
        <v>434178.19800000003</v>
      </c>
      <c r="K66" s="38">
        <f t="shared" si="7"/>
        <v>434178.19800000003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>
        <v>70</v>
      </c>
      <c r="AA66" s="37">
        <f>Z66*300%</f>
        <v>210</v>
      </c>
      <c r="AB66" s="37">
        <f>K66*AA66%</f>
        <v>911774.21580000012</v>
      </c>
      <c r="AC66" s="37"/>
      <c r="AD66" s="37"/>
      <c r="AE66" s="38">
        <f t="shared" si="9"/>
        <v>43417.819800000005</v>
      </c>
      <c r="AF66" s="38">
        <f t="shared" si="10"/>
        <v>1389370.2336000002</v>
      </c>
      <c r="AG66" s="38">
        <f t="shared" si="11"/>
        <v>16672442.803200003</v>
      </c>
      <c r="AH66" s="38">
        <f t="shared" si="12"/>
        <v>434178.19800000003</v>
      </c>
      <c r="AI66" s="38">
        <f t="shared" si="5"/>
        <v>17106621.001200002</v>
      </c>
      <c r="AJ66" s="30"/>
      <c r="AK66" s="30"/>
      <c r="AL66" s="31"/>
      <c r="AM66" s="31"/>
    </row>
    <row r="67" spans="1:210" s="19" customFormat="1" ht="39" customHeight="1">
      <c r="A67" s="34">
        <v>53</v>
      </c>
      <c r="B67" s="68" t="s">
        <v>163</v>
      </c>
      <c r="C67" s="69"/>
      <c r="D67" s="70" t="s">
        <v>73</v>
      </c>
      <c r="E67" s="72">
        <v>4</v>
      </c>
      <c r="F67" s="34" t="s">
        <v>162</v>
      </c>
      <c r="G67" s="36">
        <v>4.2300000000000004</v>
      </c>
      <c r="H67" s="54">
        <v>17697</v>
      </c>
      <c r="I67" s="39">
        <v>1.45</v>
      </c>
      <c r="J67" s="54">
        <f t="shared" si="17"/>
        <v>434178.19800000003</v>
      </c>
      <c r="K67" s="38">
        <f t="shared" si="7"/>
        <v>434178.19800000003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>
        <v>70</v>
      </c>
      <c r="AA67" s="37">
        <f>Z67*300%</f>
        <v>210</v>
      </c>
      <c r="AB67" s="37">
        <f>K67*AA67%</f>
        <v>911774.21580000012</v>
      </c>
      <c r="AC67" s="37"/>
      <c r="AD67" s="37"/>
      <c r="AE67" s="38">
        <f t="shared" si="9"/>
        <v>43417.819800000005</v>
      </c>
      <c r="AF67" s="38">
        <f t="shared" si="10"/>
        <v>1389370.2336000002</v>
      </c>
      <c r="AG67" s="38">
        <f t="shared" si="11"/>
        <v>16672442.803200003</v>
      </c>
      <c r="AH67" s="38">
        <f t="shared" si="12"/>
        <v>434178.19800000003</v>
      </c>
      <c r="AI67" s="38">
        <f t="shared" si="5"/>
        <v>17106621.001200002</v>
      </c>
      <c r="AJ67" s="30"/>
      <c r="AK67" s="30"/>
      <c r="AL67" s="31"/>
      <c r="AM67" s="31"/>
    </row>
    <row r="68" spans="1:210" s="19" customFormat="1" ht="18.95" customHeight="1">
      <c r="A68" s="34">
        <v>54</v>
      </c>
      <c r="B68" s="68" t="s">
        <v>164</v>
      </c>
      <c r="C68" s="69"/>
      <c r="D68" s="71">
        <v>6</v>
      </c>
      <c r="E68" s="72">
        <v>4</v>
      </c>
      <c r="F68" s="71"/>
      <c r="G68" s="71">
        <v>2.96</v>
      </c>
      <c r="H68" s="54">
        <v>17697</v>
      </c>
      <c r="I68" s="39">
        <v>1.45</v>
      </c>
      <c r="J68" s="54">
        <f t="shared" si="17"/>
        <v>303822.09600000002</v>
      </c>
      <c r="K68" s="38">
        <f t="shared" si="7"/>
        <v>303822.09600000002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7"/>
      <c r="AC68" s="37"/>
      <c r="AD68" s="37"/>
      <c r="AE68" s="38">
        <f t="shared" si="9"/>
        <v>30382.209600000002</v>
      </c>
      <c r="AF68" s="38">
        <f t="shared" si="10"/>
        <v>334204.30560000002</v>
      </c>
      <c r="AG68" s="38">
        <f t="shared" si="11"/>
        <v>4010451.6672</v>
      </c>
      <c r="AH68" s="38">
        <f t="shared" si="12"/>
        <v>303822.09600000002</v>
      </c>
      <c r="AI68" s="38">
        <f t="shared" si="5"/>
        <v>4314273.7631999999</v>
      </c>
      <c r="AJ68" s="30"/>
      <c r="AK68" s="30"/>
      <c r="AL68" s="31"/>
      <c r="AM68" s="31"/>
    </row>
    <row r="69" spans="1:210" s="26" customFormat="1" ht="18.95" customHeight="1">
      <c r="A69" s="34">
        <v>55</v>
      </c>
      <c r="B69" s="68" t="s">
        <v>165</v>
      </c>
      <c r="C69" s="35"/>
      <c r="D69" s="70" t="s">
        <v>153</v>
      </c>
      <c r="E69" s="71">
        <v>1</v>
      </c>
      <c r="F69" s="34" t="s">
        <v>106</v>
      </c>
      <c r="G69" s="34">
        <v>5.96</v>
      </c>
      <c r="H69" s="54">
        <v>17697</v>
      </c>
      <c r="I69" s="39">
        <v>1.45</v>
      </c>
      <c r="J69" s="54">
        <f t="shared" si="17"/>
        <v>152937.47399999999</v>
      </c>
      <c r="K69" s="38">
        <f t="shared" si="7"/>
        <v>152937.47399999999</v>
      </c>
      <c r="L69" s="75"/>
      <c r="M69" s="75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>
        <v>80</v>
      </c>
      <c r="AA69" s="37">
        <f>Z69*300%</f>
        <v>240</v>
      </c>
      <c r="AB69" s="37">
        <f>K69*AA69%</f>
        <v>367049.93759999995</v>
      </c>
      <c r="AC69" s="37"/>
      <c r="AD69" s="37"/>
      <c r="AE69" s="38">
        <f t="shared" si="9"/>
        <v>15293.7474</v>
      </c>
      <c r="AF69" s="38">
        <f t="shared" si="10"/>
        <v>535281.15899999999</v>
      </c>
      <c r="AG69" s="38">
        <f t="shared" si="11"/>
        <v>6423373.9079999998</v>
      </c>
      <c r="AH69" s="38">
        <f t="shared" si="12"/>
        <v>152937.47399999999</v>
      </c>
      <c r="AI69" s="38">
        <f t="shared" si="5"/>
        <v>6576311.3820000002</v>
      </c>
      <c r="AJ69" s="30"/>
      <c r="AK69" s="76"/>
      <c r="AL69" s="31"/>
      <c r="AM69" s="31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</row>
    <row r="70" spans="1:210" s="26" customFormat="1" ht="18.95" customHeight="1">
      <c r="A70" s="34">
        <v>56</v>
      </c>
      <c r="B70" s="68" t="s">
        <v>166</v>
      </c>
      <c r="C70" s="35"/>
      <c r="D70" s="70" t="s">
        <v>73</v>
      </c>
      <c r="E70" s="72">
        <v>2</v>
      </c>
      <c r="F70" s="71" t="s">
        <v>167</v>
      </c>
      <c r="G70" s="70">
        <v>4.43</v>
      </c>
      <c r="H70" s="54">
        <v>17697</v>
      </c>
      <c r="I70" s="39">
        <v>1.45</v>
      </c>
      <c r="J70" s="54">
        <f t="shared" si="17"/>
        <v>227353.35899999997</v>
      </c>
      <c r="K70" s="38">
        <f t="shared" si="7"/>
        <v>227353.35899999997</v>
      </c>
      <c r="L70" s="54"/>
      <c r="M70" s="54">
        <f>J70/164*0.5*2.67</f>
        <v>1850.7117942987802</v>
      </c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>
        <v>70</v>
      </c>
      <c r="AA70" s="37">
        <f>Z70*300%</f>
        <v>210</v>
      </c>
      <c r="AB70" s="37">
        <f>K70*AA70%</f>
        <v>477442.05389999994</v>
      </c>
      <c r="AC70" s="37"/>
      <c r="AD70" s="37"/>
      <c r="AE70" s="38">
        <f t="shared" si="9"/>
        <v>22735.335899999998</v>
      </c>
      <c r="AF70" s="38">
        <f t="shared" si="10"/>
        <v>727530.74879999983</v>
      </c>
      <c r="AG70" s="38">
        <f t="shared" si="11"/>
        <v>8730368.9855999984</v>
      </c>
      <c r="AH70" s="38">
        <f t="shared" si="12"/>
        <v>227353.35899999997</v>
      </c>
      <c r="AI70" s="38">
        <f t="shared" si="5"/>
        <v>8957722.3445999976</v>
      </c>
      <c r="AJ70" s="30"/>
      <c r="AK70" s="76"/>
      <c r="AL70" s="31"/>
      <c r="AM70" s="31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</row>
    <row r="71" spans="1:210" s="26" customFormat="1" ht="18.95" customHeight="1">
      <c r="A71" s="34">
        <v>57</v>
      </c>
      <c r="B71" s="68" t="s">
        <v>168</v>
      </c>
      <c r="C71" s="35"/>
      <c r="D71" s="70" t="s">
        <v>73</v>
      </c>
      <c r="E71" s="72">
        <v>1</v>
      </c>
      <c r="F71" s="71" t="s">
        <v>167</v>
      </c>
      <c r="G71" s="70">
        <v>4.43</v>
      </c>
      <c r="H71" s="54">
        <v>17697</v>
      </c>
      <c r="I71" s="39">
        <v>1.45</v>
      </c>
      <c r="J71" s="54">
        <f t="shared" si="17"/>
        <v>113676.67949999998</v>
      </c>
      <c r="K71" s="38">
        <f t="shared" si="7"/>
        <v>113676.67949999998</v>
      </c>
      <c r="L71" s="54"/>
      <c r="M71" s="54">
        <f>J71/164*0.5*2.67</f>
        <v>925.3558971493901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>
        <v>70</v>
      </c>
      <c r="AA71" s="37">
        <f>Z71*300%</f>
        <v>210</v>
      </c>
      <c r="AB71" s="37">
        <f>K71*AA71%</f>
        <v>238721.02694999997</v>
      </c>
      <c r="AC71" s="37"/>
      <c r="AD71" s="37"/>
      <c r="AE71" s="38">
        <f t="shared" si="9"/>
        <v>11367.667949999999</v>
      </c>
      <c r="AF71" s="38">
        <f t="shared" si="10"/>
        <v>363765.37439999991</v>
      </c>
      <c r="AG71" s="38">
        <f t="shared" si="11"/>
        <v>4365184.4927999992</v>
      </c>
      <c r="AH71" s="38">
        <f t="shared" si="12"/>
        <v>113676.67949999998</v>
      </c>
      <c r="AI71" s="38">
        <f t="shared" si="5"/>
        <v>4478861.1722999988</v>
      </c>
      <c r="AJ71" s="30"/>
      <c r="AK71" s="76"/>
      <c r="AL71" s="31"/>
      <c r="AM71" s="31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</row>
    <row r="72" spans="1:210" s="26" customFormat="1" ht="18.95" customHeight="1">
      <c r="A72" s="34">
        <v>58</v>
      </c>
      <c r="B72" s="68" t="s">
        <v>169</v>
      </c>
      <c r="C72" s="35"/>
      <c r="D72" s="70" t="s">
        <v>73</v>
      </c>
      <c r="E72" s="72">
        <v>4</v>
      </c>
      <c r="F72" s="71" t="s">
        <v>167</v>
      </c>
      <c r="G72" s="70">
        <v>4.43</v>
      </c>
      <c r="H72" s="54">
        <v>17697</v>
      </c>
      <c r="I72" s="39">
        <v>1.45</v>
      </c>
      <c r="J72" s="54">
        <f t="shared" si="17"/>
        <v>454706.71799999994</v>
      </c>
      <c r="K72" s="38">
        <f t="shared" si="7"/>
        <v>454706.71799999994</v>
      </c>
      <c r="L72" s="54"/>
      <c r="M72" s="54">
        <f>J72/164*0.5*2.67</f>
        <v>3701.4235885975604</v>
      </c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7"/>
      <c r="AC72" s="37"/>
      <c r="AD72" s="37"/>
      <c r="AE72" s="38">
        <f t="shared" si="9"/>
        <v>45470.671799999996</v>
      </c>
      <c r="AF72" s="38">
        <f t="shared" si="10"/>
        <v>500177.38979999995</v>
      </c>
      <c r="AG72" s="38">
        <f t="shared" si="11"/>
        <v>6002128.6775999991</v>
      </c>
      <c r="AH72" s="38">
        <f t="shared" si="12"/>
        <v>454706.71799999994</v>
      </c>
      <c r="AI72" s="38">
        <f t="shared" si="5"/>
        <v>6456835.3955999995</v>
      </c>
      <c r="AJ72" s="30"/>
      <c r="AK72" s="76"/>
      <c r="AL72" s="31"/>
      <c r="AM72" s="31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</row>
    <row r="73" spans="1:210" s="26" customFormat="1" ht="18.95" customHeight="1">
      <c r="A73" s="34">
        <v>59</v>
      </c>
      <c r="B73" s="68" t="s">
        <v>170</v>
      </c>
      <c r="C73" s="73"/>
      <c r="D73" s="70" t="s">
        <v>171</v>
      </c>
      <c r="E73" s="72">
        <v>1</v>
      </c>
      <c r="F73" s="34" t="s">
        <v>106</v>
      </c>
      <c r="G73" s="71">
        <v>5.18</v>
      </c>
      <c r="H73" s="54">
        <v>17697</v>
      </c>
      <c r="I73" s="39">
        <v>1.45</v>
      </c>
      <c r="J73" s="54">
        <f t="shared" si="17"/>
        <v>132922.16699999999</v>
      </c>
      <c r="K73" s="38">
        <f t="shared" si="7"/>
        <v>132922.16699999999</v>
      </c>
      <c r="L73" s="38"/>
      <c r="M73" s="3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38">
        <v>80</v>
      </c>
      <c r="AA73" s="37">
        <f>Z73*300%</f>
        <v>240</v>
      </c>
      <c r="AB73" s="37">
        <f>K73*AA73%</f>
        <v>319013.20079999993</v>
      </c>
      <c r="AC73" s="77"/>
      <c r="AD73" s="77"/>
      <c r="AE73" s="38">
        <f t="shared" si="9"/>
        <v>13292.216699999999</v>
      </c>
      <c r="AF73" s="38">
        <f t="shared" si="10"/>
        <v>465227.58449999988</v>
      </c>
      <c r="AG73" s="38">
        <f t="shared" si="11"/>
        <v>5582731.0139999986</v>
      </c>
      <c r="AH73" s="38">
        <f t="shared" si="12"/>
        <v>132922.16699999999</v>
      </c>
      <c r="AI73" s="38">
        <f t="shared" si="5"/>
        <v>5715653.1809999989</v>
      </c>
      <c r="AJ73" s="30"/>
      <c r="AK73" s="78"/>
      <c r="AL73" s="31"/>
      <c r="AM73" s="31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</row>
    <row r="74" spans="1:210" s="26" customFormat="1" ht="18.95" customHeight="1">
      <c r="A74" s="34">
        <v>60</v>
      </c>
      <c r="B74" s="68" t="s">
        <v>172</v>
      </c>
      <c r="C74" s="73"/>
      <c r="D74" s="70" t="s">
        <v>173</v>
      </c>
      <c r="E74" s="72">
        <v>4</v>
      </c>
      <c r="F74" s="59" t="s">
        <v>167</v>
      </c>
      <c r="G74" s="60">
        <v>3.5</v>
      </c>
      <c r="H74" s="54">
        <v>17697</v>
      </c>
      <c r="I74" s="39">
        <v>1.45</v>
      </c>
      <c r="J74" s="54">
        <f t="shared" si="17"/>
        <v>359249.1</v>
      </c>
      <c r="K74" s="38">
        <f t="shared" si="7"/>
        <v>359249.1</v>
      </c>
      <c r="L74" s="54">
        <f>J74/164*0.5*58</f>
        <v>63525.755487804876</v>
      </c>
      <c r="M74" s="54">
        <f>J74/164*0.5*2.67</f>
        <v>2924.375295731707</v>
      </c>
      <c r="N74" s="38">
        <f>K74/164*0.5*58</f>
        <v>63525.755487804876</v>
      </c>
      <c r="O74" s="38">
        <f>K74/164*0.5*2.67</f>
        <v>2924.375295731707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38">
        <v>70</v>
      </c>
      <c r="AA74" s="37">
        <f>Z74*300%</f>
        <v>210</v>
      </c>
      <c r="AB74" s="37">
        <f>K74*AA74%</f>
        <v>754423.11</v>
      </c>
      <c r="AC74" s="77"/>
      <c r="AD74" s="77"/>
      <c r="AE74" s="38">
        <f t="shared" si="9"/>
        <v>35924.909999999996</v>
      </c>
      <c r="AF74" s="38">
        <f t="shared" si="10"/>
        <v>1216047.2507835364</v>
      </c>
      <c r="AG74" s="38">
        <f t="shared" si="11"/>
        <v>14592567.009402435</v>
      </c>
      <c r="AH74" s="38">
        <f t="shared" si="12"/>
        <v>359249.1</v>
      </c>
      <c r="AI74" s="38">
        <f t="shared" si="5"/>
        <v>14951816.109402435</v>
      </c>
      <c r="AJ74" s="30"/>
      <c r="AK74" s="78"/>
      <c r="AL74" s="31"/>
      <c r="AM74" s="31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</row>
    <row r="75" spans="1:210" s="26" customFormat="1" ht="18.95" customHeight="1">
      <c r="A75" s="34">
        <v>61</v>
      </c>
      <c r="B75" s="68" t="s">
        <v>174</v>
      </c>
      <c r="C75" s="73"/>
      <c r="D75" s="71">
        <v>2</v>
      </c>
      <c r="E75" s="72">
        <v>3</v>
      </c>
      <c r="F75" s="71"/>
      <c r="G75" s="70">
        <v>2.81</v>
      </c>
      <c r="H75" s="54">
        <v>17697</v>
      </c>
      <c r="I75" s="39">
        <v>1.45</v>
      </c>
      <c r="J75" s="54">
        <f t="shared" si="17"/>
        <v>216319.27949999998</v>
      </c>
      <c r="K75" s="38">
        <f t="shared" si="7"/>
        <v>216319.27949999998</v>
      </c>
      <c r="L75" s="54"/>
      <c r="M75" s="54">
        <f>J75/164*0.5*2.67</f>
        <v>1760.8916959298779</v>
      </c>
      <c r="N75" s="38">
        <f>K75/164*0.5*58</f>
        <v>38251.579911585359</v>
      </c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38"/>
      <c r="AA75" s="38"/>
      <c r="AB75" s="37"/>
      <c r="AC75" s="77"/>
      <c r="AD75" s="77"/>
      <c r="AE75" s="38">
        <f t="shared" si="9"/>
        <v>21631.927949999998</v>
      </c>
      <c r="AF75" s="38">
        <f t="shared" si="10"/>
        <v>276202.7873615853</v>
      </c>
      <c r="AG75" s="38">
        <f t="shared" si="11"/>
        <v>3314433.4483390236</v>
      </c>
      <c r="AH75" s="38"/>
      <c r="AI75" s="38">
        <f t="shared" si="5"/>
        <v>3314433.4483390236</v>
      </c>
      <c r="AJ75" s="30"/>
      <c r="AK75" s="78"/>
      <c r="AL75" s="31"/>
      <c r="AM75" s="31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</row>
    <row r="76" spans="1:210" s="26" customFormat="1" ht="18.95" customHeight="1">
      <c r="A76" s="34">
        <v>62</v>
      </c>
      <c r="B76" s="68" t="s">
        <v>175</v>
      </c>
      <c r="C76" s="73"/>
      <c r="D76" s="71">
        <v>4</v>
      </c>
      <c r="E76" s="72">
        <v>3</v>
      </c>
      <c r="F76" s="79"/>
      <c r="G76" s="70">
        <v>2.89</v>
      </c>
      <c r="H76" s="54">
        <v>17697</v>
      </c>
      <c r="I76" s="39">
        <v>1.45</v>
      </c>
      <c r="J76" s="54">
        <f t="shared" si="17"/>
        <v>222477.83549999999</v>
      </c>
      <c r="K76" s="38">
        <f t="shared" si="7"/>
        <v>222477.83549999999</v>
      </c>
      <c r="L76" s="54">
        <f>J76/164*0.5*58</f>
        <v>39340.592862804871</v>
      </c>
      <c r="M76" s="54">
        <f>J76/164*0.5*2.67</f>
        <v>1811.0238438567071</v>
      </c>
      <c r="N76" s="38">
        <f>K76/164*0.5*58</f>
        <v>39340.592862804871</v>
      </c>
      <c r="O76" s="38">
        <f>K76/164*0.5*2.67</f>
        <v>1811.0238438567071</v>
      </c>
      <c r="P76" s="28"/>
      <c r="Q76" s="28"/>
      <c r="R76" s="28"/>
      <c r="S76" s="28"/>
      <c r="T76" s="38">
        <v>30</v>
      </c>
      <c r="U76" s="38">
        <f>E76*H76*T76%</f>
        <v>15927.3</v>
      </c>
      <c r="V76" s="28"/>
      <c r="W76" s="28"/>
      <c r="X76" s="28"/>
      <c r="Y76" s="28"/>
      <c r="Z76" s="28"/>
      <c r="AA76" s="28"/>
      <c r="AB76" s="77"/>
      <c r="AC76" s="77"/>
      <c r="AD76" s="77"/>
      <c r="AE76" s="38">
        <f t="shared" si="9"/>
        <v>22247.78355</v>
      </c>
      <c r="AF76" s="38">
        <f t="shared" si="10"/>
        <v>301804.53575666156</v>
      </c>
      <c r="AG76" s="38">
        <f t="shared" si="11"/>
        <v>3621654.4290799387</v>
      </c>
      <c r="AH76" s="38">
        <f>K76</f>
        <v>222477.83549999999</v>
      </c>
      <c r="AI76" s="38">
        <f t="shared" si="5"/>
        <v>3844132.2645799387</v>
      </c>
      <c r="AJ76" s="30"/>
      <c r="AK76" s="78"/>
      <c r="AL76" s="31"/>
      <c r="AM76" s="31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</row>
    <row r="77" spans="1:210" s="26" customFormat="1" ht="18.95" customHeight="1">
      <c r="A77" s="34">
        <v>63</v>
      </c>
      <c r="B77" s="68" t="s">
        <v>176</v>
      </c>
      <c r="C77" s="27"/>
      <c r="D77" s="70" t="s">
        <v>171</v>
      </c>
      <c r="E77" s="72">
        <v>1</v>
      </c>
      <c r="F77" s="34" t="s">
        <v>106</v>
      </c>
      <c r="G77" s="71">
        <v>5.18</v>
      </c>
      <c r="H77" s="54">
        <v>17697</v>
      </c>
      <c r="I77" s="39">
        <v>1.45</v>
      </c>
      <c r="J77" s="54">
        <f t="shared" si="17"/>
        <v>132922.16699999999</v>
      </c>
      <c r="K77" s="38">
        <f t="shared" si="7"/>
        <v>132922.16699999999</v>
      </c>
      <c r="L77" s="38"/>
      <c r="M77" s="3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38">
        <v>80</v>
      </c>
      <c r="AA77" s="37">
        <f>Z77*300%</f>
        <v>240</v>
      </c>
      <c r="AB77" s="37">
        <f>K77*AA77%</f>
        <v>319013.20079999993</v>
      </c>
      <c r="AC77" s="77"/>
      <c r="AD77" s="77"/>
      <c r="AE77" s="38">
        <f t="shared" si="9"/>
        <v>13292.216699999999</v>
      </c>
      <c r="AF77" s="38">
        <f t="shared" si="10"/>
        <v>465227.58449999988</v>
      </c>
      <c r="AG77" s="38">
        <f t="shared" si="11"/>
        <v>5582731.0139999986</v>
      </c>
      <c r="AH77" s="38">
        <f t="shared" ref="AH77:AH82" si="18">K77</f>
        <v>132922.16699999999</v>
      </c>
      <c r="AI77" s="38">
        <f t="shared" si="5"/>
        <v>5715653.1809999989</v>
      </c>
      <c r="AJ77" s="30"/>
      <c r="AK77" s="78"/>
      <c r="AL77" s="31"/>
      <c r="AM77" s="31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</row>
    <row r="78" spans="1:210" s="26" customFormat="1" ht="18.95" customHeight="1">
      <c r="A78" s="34">
        <v>64</v>
      </c>
      <c r="B78" s="68" t="s">
        <v>177</v>
      </c>
      <c r="C78" s="35"/>
      <c r="D78" s="70" t="s">
        <v>73</v>
      </c>
      <c r="E78" s="49">
        <v>1</v>
      </c>
      <c r="F78" s="38" t="s">
        <v>74</v>
      </c>
      <c r="G78" s="36">
        <v>4.43</v>
      </c>
      <c r="H78" s="54">
        <v>17697</v>
      </c>
      <c r="I78" s="39">
        <v>1.45</v>
      </c>
      <c r="J78" s="38"/>
      <c r="K78" s="38">
        <f t="shared" si="7"/>
        <v>113676.67949999998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>
        <v>70</v>
      </c>
      <c r="AA78" s="37">
        <f>Z78*300%</f>
        <v>210</v>
      </c>
      <c r="AB78" s="37">
        <f>K78*AA78%</f>
        <v>238721.02694999997</v>
      </c>
      <c r="AC78" s="37"/>
      <c r="AD78" s="37"/>
      <c r="AE78" s="38">
        <f t="shared" si="9"/>
        <v>11367.667949999999</v>
      </c>
      <c r="AF78" s="38">
        <f t="shared" si="10"/>
        <v>363765.37439999991</v>
      </c>
      <c r="AG78" s="38">
        <f t="shared" si="11"/>
        <v>4365184.4927999992</v>
      </c>
      <c r="AH78" s="38">
        <f t="shared" si="18"/>
        <v>113676.67949999998</v>
      </c>
      <c r="AI78" s="38">
        <f t="shared" si="5"/>
        <v>4478861.1722999988</v>
      </c>
      <c r="AJ78" s="30"/>
      <c r="AK78" s="78"/>
      <c r="AL78" s="31"/>
      <c r="AM78" s="31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</row>
    <row r="79" spans="1:210" s="26" customFormat="1" ht="18.95" customHeight="1">
      <c r="A79" s="34">
        <v>65</v>
      </c>
      <c r="B79" s="68" t="s">
        <v>178</v>
      </c>
      <c r="C79" s="27"/>
      <c r="D79" s="70" t="s">
        <v>73</v>
      </c>
      <c r="E79" s="72">
        <v>4</v>
      </c>
      <c r="F79" s="38" t="s">
        <v>74</v>
      </c>
      <c r="G79" s="36">
        <v>4.43</v>
      </c>
      <c r="H79" s="54">
        <v>17697</v>
      </c>
      <c r="I79" s="39">
        <v>1.45</v>
      </c>
      <c r="J79" s="54">
        <f t="shared" ref="J79:J84" si="19">H79*G79*E79*I79</f>
        <v>454706.71799999994</v>
      </c>
      <c r="K79" s="38">
        <f t="shared" si="7"/>
        <v>454706.71799999994</v>
      </c>
      <c r="L79" s="54">
        <f t="shared" ref="L79:L84" si="20">J79/164*0.5*58</f>
        <v>80405.456231707314</v>
      </c>
      <c r="M79" s="54">
        <f t="shared" ref="M79:M84" si="21">J79/164*0.5*2.67</f>
        <v>3701.4235885975604</v>
      </c>
      <c r="N79" s="38">
        <f>K79/164*0.5*58</f>
        <v>80405.456231707314</v>
      </c>
      <c r="O79" s="38">
        <f>K79/164*0.5*2.67</f>
        <v>3701.4235885975604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38">
        <v>70</v>
      </c>
      <c r="AA79" s="37">
        <f>Z79*300%</f>
        <v>210</v>
      </c>
      <c r="AB79" s="37">
        <f>K79*AA79%</f>
        <v>954884.10779999988</v>
      </c>
      <c r="AC79" s="77"/>
      <c r="AD79" s="77"/>
      <c r="AE79" s="38">
        <f t="shared" si="9"/>
        <v>45470.671799999996</v>
      </c>
      <c r="AF79" s="38">
        <f t="shared" si="10"/>
        <v>1539168.3774203046</v>
      </c>
      <c r="AG79" s="38">
        <f t="shared" si="11"/>
        <v>18470020.529043656</v>
      </c>
      <c r="AH79" s="38">
        <f t="shared" si="18"/>
        <v>454706.71799999994</v>
      </c>
      <c r="AI79" s="38">
        <f t="shared" ref="AI79:AI96" si="22">AF79*12+AH79</f>
        <v>18924727.247043654</v>
      </c>
      <c r="AJ79" s="30"/>
      <c r="AK79" s="78"/>
      <c r="AL79" s="31"/>
      <c r="AM79" s="31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</row>
    <row r="80" spans="1:210" s="26" customFormat="1" ht="18.95" customHeight="1">
      <c r="A80" s="34">
        <v>66</v>
      </c>
      <c r="B80" s="68" t="s">
        <v>179</v>
      </c>
      <c r="C80" s="27"/>
      <c r="D80" s="70" t="s">
        <v>73</v>
      </c>
      <c r="E80" s="72">
        <v>3</v>
      </c>
      <c r="F80" s="38" t="s">
        <v>74</v>
      </c>
      <c r="G80" s="36">
        <v>4.43</v>
      </c>
      <c r="H80" s="54">
        <v>17697</v>
      </c>
      <c r="I80" s="39">
        <v>1.45</v>
      </c>
      <c r="J80" s="54">
        <f t="shared" si="19"/>
        <v>341030.03849999997</v>
      </c>
      <c r="K80" s="38">
        <f t="shared" si="7"/>
        <v>341030.03849999997</v>
      </c>
      <c r="L80" s="54">
        <f t="shared" si="20"/>
        <v>60304.092173780475</v>
      </c>
      <c r="M80" s="54">
        <f t="shared" si="21"/>
        <v>2776.0676914481701</v>
      </c>
      <c r="N80" s="38">
        <f>K80/164*0.5*58</f>
        <v>60304.092173780475</v>
      </c>
      <c r="O80" s="38">
        <f>K80/164*0.5*2.67</f>
        <v>2776.0676914481701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38"/>
      <c r="AA80" s="38"/>
      <c r="AB80" s="37"/>
      <c r="AC80" s="77"/>
      <c r="AD80" s="77"/>
      <c r="AE80" s="38">
        <f t="shared" si="9"/>
        <v>34103.003850000001</v>
      </c>
      <c r="AF80" s="38">
        <f t="shared" si="10"/>
        <v>438213.20221522858</v>
      </c>
      <c r="AG80" s="38">
        <f t="shared" si="11"/>
        <v>5258558.4265827425</v>
      </c>
      <c r="AH80" s="38">
        <f t="shared" si="18"/>
        <v>341030.03849999997</v>
      </c>
      <c r="AI80" s="38">
        <f t="shared" si="22"/>
        <v>5599588.4650827423</v>
      </c>
      <c r="AJ80" s="30"/>
      <c r="AK80" s="78"/>
      <c r="AL80" s="31"/>
      <c r="AM80" s="31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</row>
    <row r="81" spans="1:210" s="26" customFormat="1" ht="18.95" customHeight="1">
      <c r="A81" s="34">
        <v>67</v>
      </c>
      <c r="B81" s="68" t="s">
        <v>180</v>
      </c>
      <c r="C81" s="27"/>
      <c r="D81" s="70" t="s">
        <v>73</v>
      </c>
      <c r="E81" s="72">
        <v>3</v>
      </c>
      <c r="F81" s="38" t="s">
        <v>74</v>
      </c>
      <c r="G81" s="36">
        <v>4.43</v>
      </c>
      <c r="H81" s="54">
        <v>17697</v>
      </c>
      <c r="I81" s="39">
        <v>1.45</v>
      </c>
      <c r="J81" s="54">
        <f t="shared" si="19"/>
        <v>341030.03849999997</v>
      </c>
      <c r="K81" s="38">
        <f t="shared" si="7"/>
        <v>341030.03849999997</v>
      </c>
      <c r="L81" s="54">
        <f t="shared" si="20"/>
        <v>60304.092173780475</v>
      </c>
      <c r="M81" s="54">
        <f t="shared" si="21"/>
        <v>2776.0676914481701</v>
      </c>
      <c r="N81" s="38">
        <f>K81/164*0.5*58</f>
        <v>60304.092173780475</v>
      </c>
      <c r="O81" s="38">
        <f>K81/164*0.5*2.67</f>
        <v>2776.0676914481701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38"/>
      <c r="AA81" s="38"/>
      <c r="AB81" s="37"/>
      <c r="AC81" s="77"/>
      <c r="AD81" s="77"/>
      <c r="AE81" s="38">
        <f t="shared" si="9"/>
        <v>34103.003850000001</v>
      </c>
      <c r="AF81" s="38">
        <f t="shared" si="10"/>
        <v>438213.20221522858</v>
      </c>
      <c r="AG81" s="38">
        <f t="shared" si="11"/>
        <v>5258558.4265827425</v>
      </c>
      <c r="AH81" s="38">
        <f t="shared" si="18"/>
        <v>341030.03849999997</v>
      </c>
      <c r="AI81" s="38">
        <f t="shared" si="22"/>
        <v>5599588.4650827423</v>
      </c>
      <c r="AJ81" s="30"/>
      <c r="AK81" s="78"/>
      <c r="AL81" s="31"/>
      <c r="AM81" s="31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</row>
    <row r="82" spans="1:210" s="26" customFormat="1" ht="18.95" customHeight="1">
      <c r="A82" s="34">
        <v>68</v>
      </c>
      <c r="B82" s="68" t="s">
        <v>181</v>
      </c>
      <c r="C82" s="27"/>
      <c r="D82" s="70" t="s">
        <v>73</v>
      </c>
      <c r="E82" s="72">
        <v>2</v>
      </c>
      <c r="F82" s="34" t="s">
        <v>162</v>
      </c>
      <c r="G82" s="36">
        <v>4.2300000000000004</v>
      </c>
      <c r="H82" s="54">
        <v>17697</v>
      </c>
      <c r="I82" s="39">
        <v>1.45</v>
      </c>
      <c r="J82" s="54">
        <f t="shared" si="19"/>
        <v>217089.09900000002</v>
      </c>
      <c r="K82" s="38">
        <f t="shared" si="7"/>
        <v>217089.09900000002</v>
      </c>
      <c r="L82" s="54">
        <f t="shared" si="20"/>
        <v>38387.706530487805</v>
      </c>
      <c r="M82" s="54">
        <f t="shared" si="21"/>
        <v>1767.1582144207318</v>
      </c>
      <c r="N82" s="38">
        <f>K82/164*0.5*58</f>
        <v>38387.706530487805</v>
      </c>
      <c r="O82" s="38">
        <f>K82/164*0.5*2.67</f>
        <v>1767.1582144207318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38"/>
      <c r="AA82" s="38"/>
      <c r="AB82" s="37"/>
      <c r="AC82" s="77"/>
      <c r="AD82" s="77"/>
      <c r="AE82" s="38">
        <f t="shared" si="9"/>
        <v>21708.909900000002</v>
      </c>
      <c r="AF82" s="38">
        <f t="shared" si="10"/>
        <v>278952.87364490854</v>
      </c>
      <c r="AG82" s="38">
        <f t="shared" si="11"/>
        <v>3347434.4837389025</v>
      </c>
      <c r="AH82" s="38">
        <f t="shared" si="18"/>
        <v>217089.09900000002</v>
      </c>
      <c r="AI82" s="38">
        <f t="shared" si="22"/>
        <v>3564523.5827389024</v>
      </c>
      <c r="AJ82" s="30"/>
      <c r="AK82" s="78"/>
      <c r="AL82" s="31"/>
      <c r="AM82" s="31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</row>
    <row r="83" spans="1:210" s="26" customFormat="1" ht="18.95" customHeight="1">
      <c r="A83" s="34">
        <v>69</v>
      </c>
      <c r="B83" s="68" t="s">
        <v>182</v>
      </c>
      <c r="C83" s="27"/>
      <c r="D83" s="71">
        <v>2</v>
      </c>
      <c r="E83" s="72">
        <v>2</v>
      </c>
      <c r="F83" s="79"/>
      <c r="G83" s="70">
        <v>2.81</v>
      </c>
      <c r="H83" s="54">
        <v>17697</v>
      </c>
      <c r="I83" s="39">
        <v>1.45</v>
      </c>
      <c r="J83" s="54">
        <f t="shared" si="19"/>
        <v>144212.853</v>
      </c>
      <c r="K83" s="38">
        <f t="shared" si="7"/>
        <v>144212.853</v>
      </c>
      <c r="L83" s="54">
        <f t="shared" si="20"/>
        <v>25501.053274390244</v>
      </c>
      <c r="M83" s="54">
        <f t="shared" si="21"/>
        <v>1173.9277972865852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38"/>
      <c r="AA83" s="38"/>
      <c r="AB83" s="37"/>
      <c r="AC83" s="77"/>
      <c r="AD83" s="77"/>
      <c r="AE83" s="38">
        <f t="shared" si="9"/>
        <v>14421.285300000001</v>
      </c>
      <c r="AF83" s="38">
        <f>K83+N83+O83+Q83+S83+U83+W83+Y83+AB83+AE83+AD83</f>
        <v>158634.13829999999</v>
      </c>
      <c r="AG83" s="38">
        <f t="shared" si="11"/>
        <v>1903609.6595999999</v>
      </c>
      <c r="AH83" s="38"/>
      <c r="AI83" s="38">
        <f t="shared" si="22"/>
        <v>1903609.6595999999</v>
      </c>
      <c r="AJ83" s="30"/>
      <c r="AK83" s="78"/>
      <c r="AL83" s="31"/>
      <c r="AM83" s="31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</row>
    <row r="84" spans="1:210" s="26" customFormat="1" ht="18.95" customHeight="1">
      <c r="A84" s="34">
        <v>70</v>
      </c>
      <c r="B84" s="68" t="s">
        <v>183</v>
      </c>
      <c r="C84" s="27"/>
      <c r="D84" s="71">
        <v>4</v>
      </c>
      <c r="E84" s="49">
        <v>2</v>
      </c>
      <c r="F84" s="71"/>
      <c r="G84" s="70">
        <v>2.89</v>
      </c>
      <c r="H84" s="54">
        <v>17697</v>
      </c>
      <c r="I84" s="39">
        <v>1.45</v>
      </c>
      <c r="J84" s="54">
        <f t="shared" si="19"/>
        <v>148318.557</v>
      </c>
      <c r="K84" s="38">
        <f t="shared" si="7"/>
        <v>148318.557</v>
      </c>
      <c r="L84" s="54">
        <f t="shared" si="20"/>
        <v>26227.061908536583</v>
      </c>
      <c r="M84" s="54">
        <f t="shared" si="21"/>
        <v>1207.3492292378048</v>
      </c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38"/>
      <c r="AA84" s="38"/>
      <c r="AB84" s="37"/>
      <c r="AC84" s="77"/>
      <c r="AD84" s="77"/>
      <c r="AE84" s="38">
        <f t="shared" si="9"/>
        <v>14831.8557</v>
      </c>
      <c r="AF84" s="38">
        <f t="shared" si="10"/>
        <v>163150.41269999999</v>
      </c>
      <c r="AG84" s="38">
        <f t="shared" si="11"/>
        <v>1957804.9523999998</v>
      </c>
      <c r="AH84" s="38"/>
      <c r="AI84" s="38">
        <f t="shared" si="22"/>
        <v>1957804.9523999998</v>
      </c>
      <c r="AJ84" s="30"/>
      <c r="AK84" s="78"/>
      <c r="AL84" s="31"/>
      <c r="AM84" s="31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</row>
    <row r="85" spans="1:210" s="26" customFormat="1" ht="18.95" customHeight="1">
      <c r="A85" s="34">
        <v>71</v>
      </c>
      <c r="B85" s="68" t="s">
        <v>184</v>
      </c>
      <c r="C85" s="35"/>
      <c r="D85" s="70" t="s">
        <v>171</v>
      </c>
      <c r="E85" s="49">
        <v>1</v>
      </c>
      <c r="F85" s="70" t="s">
        <v>88</v>
      </c>
      <c r="G85" s="71">
        <v>5.31</v>
      </c>
      <c r="H85" s="54">
        <v>17697</v>
      </c>
      <c r="I85" s="39">
        <v>1.45</v>
      </c>
      <c r="J85" s="38"/>
      <c r="K85" s="38">
        <f t="shared" si="7"/>
        <v>136258.05149999997</v>
      </c>
      <c r="L85" s="38">
        <v>0</v>
      </c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>
        <v>80</v>
      </c>
      <c r="AA85" s="37">
        <f t="shared" ref="AA85:AA94" si="23">Z85*300%</f>
        <v>240</v>
      </c>
      <c r="AB85" s="37">
        <f t="shared" ref="AB85:AB94" si="24">K85*AA85%</f>
        <v>327019.32359999995</v>
      </c>
      <c r="AC85" s="37"/>
      <c r="AD85" s="37"/>
      <c r="AE85" s="38">
        <f t="shared" si="9"/>
        <v>13625.805149999998</v>
      </c>
      <c r="AF85" s="38">
        <f t="shared" si="10"/>
        <v>476903.18024999992</v>
      </c>
      <c r="AG85" s="38">
        <f t="shared" si="11"/>
        <v>5722838.1629999988</v>
      </c>
      <c r="AH85" s="38">
        <f t="shared" ref="AH85:AH91" si="25">K85</f>
        <v>136258.05149999997</v>
      </c>
      <c r="AI85" s="38">
        <f t="shared" si="22"/>
        <v>5859096.2144999988</v>
      </c>
      <c r="AJ85" s="30"/>
      <c r="AK85" s="78"/>
      <c r="AL85" s="31"/>
      <c r="AM85" s="31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</row>
    <row r="86" spans="1:210" s="26" customFormat="1" ht="18.95" customHeight="1">
      <c r="A86" s="34">
        <v>72</v>
      </c>
      <c r="B86" s="68" t="s">
        <v>185</v>
      </c>
      <c r="C86" s="35"/>
      <c r="D86" s="70" t="s">
        <v>173</v>
      </c>
      <c r="E86" s="49">
        <v>4</v>
      </c>
      <c r="F86" s="59" t="s">
        <v>92</v>
      </c>
      <c r="G86" s="60">
        <v>3.54</v>
      </c>
      <c r="H86" s="54">
        <v>17697</v>
      </c>
      <c r="I86" s="39">
        <v>1.45</v>
      </c>
      <c r="J86" s="38"/>
      <c r="K86" s="38">
        <f t="shared" si="7"/>
        <v>363354.80399999995</v>
      </c>
      <c r="L86" s="38">
        <v>0</v>
      </c>
      <c r="M86" s="38"/>
      <c r="N86" s="38"/>
      <c r="O86" s="38">
        <f t="shared" ref="O86:O92" si="26">K86/164*0.5*2.67</f>
        <v>2957.7967276829263</v>
      </c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>
        <v>70</v>
      </c>
      <c r="AA86" s="37">
        <f t="shared" si="23"/>
        <v>210</v>
      </c>
      <c r="AB86" s="37">
        <f t="shared" si="24"/>
        <v>763045.08839999989</v>
      </c>
      <c r="AC86" s="37"/>
      <c r="AD86" s="37"/>
      <c r="AE86" s="38">
        <f t="shared" si="9"/>
        <v>36335.480399999993</v>
      </c>
      <c r="AF86" s="38">
        <f t="shared" si="10"/>
        <v>1165693.1695276827</v>
      </c>
      <c r="AG86" s="38">
        <f t="shared" si="11"/>
        <v>13988318.034332193</v>
      </c>
      <c r="AH86" s="38">
        <f t="shared" si="25"/>
        <v>363354.80399999995</v>
      </c>
      <c r="AI86" s="38">
        <f t="shared" si="22"/>
        <v>14351672.838332193</v>
      </c>
      <c r="AJ86" s="30"/>
      <c r="AK86" s="78"/>
      <c r="AL86" s="31"/>
      <c r="AM86" s="31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</row>
    <row r="87" spans="1:210" s="26" customFormat="1" ht="18.95" customHeight="1">
      <c r="A87" s="34">
        <v>73</v>
      </c>
      <c r="B87" s="68" t="s">
        <v>186</v>
      </c>
      <c r="C87" s="34"/>
      <c r="D87" s="74">
        <v>6</v>
      </c>
      <c r="E87" s="49">
        <v>4</v>
      </c>
      <c r="F87" s="70"/>
      <c r="G87" s="71">
        <v>2.96</v>
      </c>
      <c r="H87" s="54">
        <v>17697</v>
      </c>
      <c r="I87" s="39">
        <v>1.45</v>
      </c>
      <c r="J87" s="38"/>
      <c r="K87" s="38">
        <f t="shared" ref="K87:K94" si="27">H87*G87*E87*I87</f>
        <v>303822.09600000002</v>
      </c>
      <c r="L87" s="38">
        <v>0</v>
      </c>
      <c r="M87" s="38"/>
      <c r="N87" s="38"/>
      <c r="O87" s="38">
        <f t="shared" si="26"/>
        <v>2473.185964390244</v>
      </c>
      <c r="P87" s="38"/>
      <c r="Q87" s="38"/>
      <c r="R87" s="38"/>
      <c r="S87" s="38"/>
      <c r="T87" s="38">
        <v>30</v>
      </c>
      <c r="U87" s="38">
        <f>E87*H87*T87%</f>
        <v>21236.399999999998</v>
      </c>
      <c r="V87" s="38"/>
      <c r="W87" s="38"/>
      <c r="X87" s="38"/>
      <c r="Y87" s="38"/>
      <c r="Z87" s="38">
        <v>79</v>
      </c>
      <c r="AA87" s="37">
        <f t="shared" si="23"/>
        <v>237</v>
      </c>
      <c r="AB87" s="37">
        <f t="shared" si="24"/>
        <v>720058.36752000009</v>
      </c>
      <c r="AC87" s="37"/>
      <c r="AD87" s="37"/>
      <c r="AE87" s="38">
        <f t="shared" ref="AE87:AE94" si="28">K87*0.1</f>
        <v>30382.209600000002</v>
      </c>
      <c r="AF87" s="38">
        <f t="shared" ref="AF87:AF94" si="29">K87+N87+O87+Q87+S87+U87+W87+Y87+AB87+AE87+AD87</f>
        <v>1077972.2590843902</v>
      </c>
      <c r="AG87" s="38">
        <f t="shared" ref="AG87:AG94" si="30">AF87*12</f>
        <v>12935667.109012682</v>
      </c>
      <c r="AH87" s="38">
        <f t="shared" si="25"/>
        <v>303822.09600000002</v>
      </c>
      <c r="AI87" s="38">
        <f>AF87*12+AH87</f>
        <v>13239489.205012683</v>
      </c>
      <c r="AJ87" s="30"/>
      <c r="AK87" s="78"/>
      <c r="AL87" s="31"/>
      <c r="AM87" s="31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</row>
    <row r="88" spans="1:210" s="26" customFormat="1" ht="18.95" customHeight="1">
      <c r="A88" s="34">
        <v>74</v>
      </c>
      <c r="B88" s="68" t="s">
        <v>187</v>
      </c>
      <c r="C88" s="34"/>
      <c r="D88" s="74">
        <v>6</v>
      </c>
      <c r="E88" s="49">
        <v>3</v>
      </c>
      <c r="F88" s="70"/>
      <c r="G88" s="71">
        <v>2.96</v>
      </c>
      <c r="H88" s="54">
        <v>17697</v>
      </c>
      <c r="I88" s="39">
        <v>1.45</v>
      </c>
      <c r="J88" s="38"/>
      <c r="K88" s="38">
        <f t="shared" si="27"/>
        <v>227866.57200000001</v>
      </c>
      <c r="L88" s="38">
        <v>0</v>
      </c>
      <c r="M88" s="38"/>
      <c r="N88" s="38"/>
      <c r="O88" s="38">
        <f t="shared" si="26"/>
        <v>1854.8894732926829</v>
      </c>
      <c r="P88" s="38"/>
      <c r="Q88" s="38"/>
      <c r="R88" s="38"/>
      <c r="S88" s="38"/>
      <c r="T88" s="38">
        <v>30</v>
      </c>
      <c r="U88" s="38">
        <f>E88*H88*T88%</f>
        <v>15927.3</v>
      </c>
      <c r="V88" s="38"/>
      <c r="W88" s="38"/>
      <c r="X88" s="38"/>
      <c r="Y88" s="38"/>
      <c r="Z88" s="38">
        <v>70</v>
      </c>
      <c r="AA88" s="37">
        <f t="shared" si="23"/>
        <v>210</v>
      </c>
      <c r="AB88" s="37">
        <f t="shared" si="24"/>
        <v>478519.80120000005</v>
      </c>
      <c r="AC88" s="37"/>
      <c r="AD88" s="37"/>
      <c r="AE88" s="38">
        <f t="shared" si="28"/>
        <v>22786.657200000001</v>
      </c>
      <c r="AF88" s="38">
        <f t="shared" si="29"/>
        <v>746955.21987329272</v>
      </c>
      <c r="AG88" s="38">
        <f t="shared" si="30"/>
        <v>8963462.6384795122</v>
      </c>
      <c r="AH88" s="38">
        <f t="shared" si="25"/>
        <v>227866.57200000001</v>
      </c>
      <c r="AI88" s="38">
        <f t="shared" si="22"/>
        <v>9191329.2104795128</v>
      </c>
      <c r="AJ88" s="30"/>
      <c r="AK88" s="78"/>
      <c r="AL88" s="31"/>
      <c r="AM88" s="31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</row>
    <row r="89" spans="1:210" s="26" customFormat="1" ht="18.95" customHeight="1">
      <c r="A89" s="34">
        <v>75</v>
      </c>
      <c r="B89" s="68" t="s">
        <v>188</v>
      </c>
      <c r="C89" s="34"/>
      <c r="D89" s="74">
        <v>6</v>
      </c>
      <c r="E89" s="49">
        <v>1</v>
      </c>
      <c r="F89" s="70"/>
      <c r="G89" s="71">
        <v>2.96</v>
      </c>
      <c r="H89" s="54">
        <v>17697</v>
      </c>
      <c r="I89" s="39">
        <v>1.45</v>
      </c>
      <c r="J89" s="38"/>
      <c r="K89" s="38">
        <f t="shared" si="27"/>
        <v>75955.524000000005</v>
      </c>
      <c r="L89" s="38">
        <v>0</v>
      </c>
      <c r="M89" s="38"/>
      <c r="N89" s="38"/>
      <c r="O89" s="38">
        <f t="shared" si="26"/>
        <v>618.29649109756099</v>
      </c>
      <c r="P89" s="38"/>
      <c r="Q89" s="38"/>
      <c r="R89" s="38"/>
      <c r="S89" s="38"/>
      <c r="T89" s="38">
        <v>30</v>
      </c>
      <c r="U89" s="38">
        <f>E89*H89*T89%</f>
        <v>5309.0999999999995</v>
      </c>
      <c r="V89" s="38"/>
      <c r="W89" s="38"/>
      <c r="X89" s="38"/>
      <c r="Y89" s="38"/>
      <c r="Z89" s="38">
        <v>70</v>
      </c>
      <c r="AA89" s="37">
        <f t="shared" si="23"/>
        <v>210</v>
      </c>
      <c r="AB89" s="37">
        <f t="shared" si="24"/>
        <v>159506.60040000002</v>
      </c>
      <c r="AC89" s="37"/>
      <c r="AD89" s="37"/>
      <c r="AE89" s="38">
        <f t="shared" si="28"/>
        <v>7595.5524000000005</v>
      </c>
      <c r="AF89" s="38">
        <f t="shared" si="29"/>
        <v>248985.07329109759</v>
      </c>
      <c r="AG89" s="38">
        <f t="shared" si="30"/>
        <v>2987820.8794931713</v>
      </c>
      <c r="AH89" s="38">
        <f t="shared" si="25"/>
        <v>75955.524000000005</v>
      </c>
      <c r="AI89" s="38">
        <f t="shared" si="22"/>
        <v>3063776.4034931716</v>
      </c>
      <c r="AJ89" s="30"/>
      <c r="AK89" s="78"/>
      <c r="AL89" s="31"/>
      <c r="AM89" s="31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</row>
    <row r="90" spans="1:210" s="26" customFormat="1" ht="18.95" customHeight="1">
      <c r="A90" s="34">
        <v>76</v>
      </c>
      <c r="B90" s="68" t="s">
        <v>189</v>
      </c>
      <c r="C90" s="34"/>
      <c r="D90" s="74">
        <v>3</v>
      </c>
      <c r="E90" s="49">
        <v>3</v>
      </c>
      <c r="F90" s="70"/>
      <c r="G90" s="70">
        <v>2.89</v>
      </c>
      <c r="H90" s="54">
        <v>17697</v>
      </c>
      <c r="I90" s="39">
        <v>1.45</v>
      </c>
      <c r="J90" s="38"/>
      <c r="K90" s="38">
        <f t="shared" si="27"/>
        <v>222477.83549999999</v>
      </c>
      <c r="L90" s="38">
        <v>0</v>
      </c>
      <c r="M90" s="38"/>
      <c r="N90" s="38"/>
      <c r="O90" s="38">
        <f t="shared" si="26"/>
        <v>1811.0238438567071</v>
      </c>
      <c r="P90" s="38"/>
      <c r="Q90" s="38"/>
      <c r="R90" s="38"/>
      <c r="S90" s="38"/>
      <c r="T90" s="38">
        <v>30</v>
      </c>
      <c r="U90" s="38">
        <f>E90*H90*T90%</f>
        <v>15927.3</v>
      </c>
      <c r="V90" s="38"/>
      <c r="W90" s="38"/>
      <c r="X90" s="38"/>
      <c r="Y90" s="38"/>
      <c r="Z90" s="38">
        <v>70</v>
      </c>
      <c r="AA90" s="37">
        <f t="shared" si="23"/>
        <v>210</v>
      </c>
      <c r="AB90" s="37">
        <f t="shared" si="24"/>
        <v>467203.45454999997</v>
      </c>
      <c r="AC90" s="37"/>
      <c r="AD90" s="37"/>
      <c r="AE90" s="38">
        <f t="shared" si="28"/>
        <v>22247.78355</v>
      </c>
      <c r="AF90" s="38">
        <f t="shared" si="29"/>
        <v>729667.39744385669</v>
      </c>
      <c r="AG90" s="38">
        <f t="shared" si="30"/>
        <v>8756008.7693262808</v>
      </c>
      <c r="AH90" s="38">
        <f t="shared" si="25"/>
        <v>222477.83549999999</v>
      </c>
      <c r="AI90" s="38">
        <f t="shared" si="22"/>
        <v>8978486.6048262808</v>
      </c>
      <c r="AJ90" s="30"/>
      <c r="AK90" s="78"/>
      <c r="AL90" s="31"/>
      <c r="AM90" s="31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</row>
    <row r="91" spans="1:210" s="26" customFormat="1" ht="18.95" customHeight="1">
      <c r="A91" s="34">
        <v>77</v>
      </c>
      <c r="B91" s="68" t="s">
        <v>189</v>
      </c>
      <c r="C91" s="34"/>
      <c r="D91" s="74">
        <v>2</v>
      </c>
      <c r="E91" s="49">
        <v>1</v>
      </c>
      <c r="F91" s="70"/>
      <c r="G91" s="70">
        <v>2.81</v>
      </c>
      <c r="H91" s="54">
        <v>17697</v>
      </c>
      <c r="I91" s="39">
        <v>1.45</v>
      </c>
      <c r="J91" s="38"/>
      <c r="K91" s="38">
        <f t="shared" si="27"/>
        <v>72106.426500000001</v>
      </c>
      <c r="L91" s="38">
        <v>0</v>
      </c>
      <c r="M91" s="38"/>
      <c r="N91" s="38"/>
      <c r="O91" s="38">
        <f t="shared" si="26"/>
        <v>586.96389864329262</v>
      </c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>
        <v>70</v>
      </c>
      <c r="AA91" s="37">
        <f t="shared" si="23"/>
        <v>210</v>
      </c>
      <c r="AB91" s="37">
        <f t="shared" si="24"/>
        <v>151423.49565</v>
      </c>
      <c r="AC91" s="37"/>
      <c r="AD91" s="37"/>
      <c r="AE91" s="38">
        <f t="shared" si="28"/>
        <v>7210.6426500000007</v>
      </c>
      <c r="AF91" s="38">
        <f t="shared" si="29"/>
        <v>231327.52869864329</v>
      </c>
      <c r="AG91" s="38">
        <f t="shared" si="30"/>
        <v>2775930.3443837194</v>
      </c>
      <c r="AH91" s="38">
        <f t="shared" si="25"/>
        <v>72106.426500000001</v>
      </c>
      <c r="AI91" s="38">
        <f t="shared" si="22"/>
        <v>2848036.7708837194</v>
      </c>
      <c r="AJ91" s="30"/>
      <c r="AK91" s="78"/>
      <c r="AL91" s="31"/>
      <c r="AM91" s="31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</row>
    <row r="92" spans="1:210" s="26" customFormat="1" ht="18.95" customHeight="1">
      <c r="A92" s="34">
        <v>78</v>
      </c>
      <c r="B92" s="68" t="s">
        <v>190</v>
      </c>
      <c r="C92" s="34"/>
      <c r="D92" s="74">
        <v>2</v>
      </c>
      <c r="E92" s="49">
        <v>4</v>
      </c>
      <c r="F92" s="70"/>
      <c r="G92" s="70">
        <v>2.81</v>
      </c>
      <c r="H92" s="54">
        <v>17697</v>
      </c>
      <c r="I92" s="39">
        <v>1.45</v>
      </c>
      <c r="J92" s="38"/>
      <c r="K92" s="38">
        <f t="shared" si="27"/>
        <v>288425.70600000001</v>
      </c>
      <c r="L92" s="38">
        <v>0</v>
      </c>
      <c r="M92" s="38"/>
      <c r="N92" s="38"/>
      <c r="O92" s="38">
        <f t="shared" si="26"/>
        <v>2347.8555945731705</v>
      </c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>
        <v>70</v>
      </c>
      <c r="AA92" s="37">
        <f t="shared" si="23"/>
        <v>210</v>
      </c>
      <c r="AB92" s="37">
        <f t="shared" si="24"/>
        <v>605693.98259999999</v>
      </c>
      <c r="AC92" s="37"/>
      <c r="AD92" s="37"/>
      <c r="AE92" s="38">
        <f t="shared" si="28"/>
        <v>28842.570600000003</v>
      </c>
      <c r="AF92" s="38">
        <f t="shared" si="29"/>
        <v>925310.11479457316</v>
      </c>
      <c r="AG92" s="38">
        <f t="shared" si="30"/>
        <v>11103721.377534878</v>
      </c>
      <c r="AH92" s="38"/>
      <c r="AI92" s="38">
        <f t="shared" si="22"/>
        <v>11103721.377534878</v>
      </c>
      <c r="AJ92" s="30"/>
      <c r="AK92" s="78"/>
      <c r="AL92" s="31"/>
      <c r="AM92" s="31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</row>
    <row r="93" spans="1:210" s="19" customFormat="1" ht="18.95" customHeight="1">
      <c r="A93" s="34">
        <v>79</v>
      </c>
      <c r="B93" s="68" t="s">
        <v>191</v>
      </c>
      <c r="C93" s="69"/>
      <c r="D93" s="70" t="s">
        <v>73</v>
      </c>
      <c r="E93" s="49">
        <v>1</v>
      </c>
      <c r="F93" s="38" t="s">
        <v>74</v>
      </c>
      <c r="G93" s="36">
        <v>4.43</v>
      </c>
      <c r="H93" s="54">
        <v>17697</v>
      </c>
      <c r="I93" s="39">
        <v>1.45</v>
      </c>
      <c r="J93" s="38"/>
      <c r="K93" s="38">
        <f t="shared" si="27"/>
        <v>113676.67949999998</v>
      </c>
      <c r="L93" s="38">
        <v>1</v>
      </c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>
        <v>70</v>
      </c>
      <c r="AA93" s="37">
        <f t="shared" si="23"/>
        <v>210</v>
      </c>
      <c r="AB93" s="37">
        <f t="shared" si="24"/>
        <v>238721.02694999997</v>
      </c>
      <c r="AC93" s="37"/>
      <c r="AD93" s="37"/>
      <c r="AE93" s="38">
        <f t="shared" si="28"/>
        <v>11367.667949999999</v>
      </c>
      <c r="AF93" s="38">
        <f t="shared" si="29"/>
        <v>363765.37439999991</v>
      </c>
      <c r="AG93" s="38">
        <f t="shared" si="30"/>
        <v>4365184.4927999992</v>
      </c>
      <c r="AH93" s="38">
        <f t="shared" ref="AH93:AH98" si="31">K93</f>
        <v>113676.67949999998</v>
      </c>
      <c r="AI93" s="38">
        <f t="shared" si="22"/>
        <v>4478861.1722999988</v>
      </c>
      <c r="AJ93" s="40"/>
      <c r="AK93" s="40"/>
      <c r="AL93" s="31"/>
      <c r="AM93" s="31"/>
    </row>
    <row r="94" spans="1:210" s="19" customFormat="1" ht="18.95" customHeight="1">
      <c r="A94" s="34">
        <v>80</v>
      </c>
      <c r="B94" s="68" t="s">
        <v>192</v>
      </c>
      <c r="C94" s="69"/>
      <c r="D94" s="70" t="s">
        <v>73</v>
      </c>
      <c r="E94" s="49">
        <v>1</v>
      </c>
      <c r="F94" s="34" t="s">
        <v>162</v>
      </c>
      <c r="G94" s="36">
        <v>4.2300000000000004</v>
      </c>
      <c r="H94" s="54">
        <v>17697</v>
      </c>
      <c r="I94" s="39">
        <v>1.45</v>
      </c>
      <c r="J94" s="38"/>
      <c r="K94" s="38">
        <f t="shared" si="27"/>
        <v>108544.54950000001</v>
      </c>
      <c r="L94" s="38">
        <v>1</v>
      </c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>
        <v>70</v>
      </c>
      <c r="AA94" s="37">
        <f t="shared" si="23"/>
        <v>210</v>
      </c>
      <c r="AB94" s="37">
        <f t="shared" si="24"/>
        <v>227943.55395000003</v>
      </c>
      <c r="AC94" s="37"/>
      <c r="AD94" s="37"/>
      <c r="AE94" s="38">
        <f t="shared" si="28"/>
        <v>10854.454950000001</v>
      </c>
      <c r="AF94" s="38">
        <f t="shared" si="29"/>
        <v>347342.55840000004</v>
      </c>
      <c r="AG94" s="38">
        <f t="shared" si="30"/>
        <v>4168110.7008000007</v>
      </c>
      <c r="AH94" s="38">
        <f t="shared" si="31"/>
        <v>108544.54950000001</v>
      </c>
      <c r="AI94" s="38">
        <f t="shared" si="22"/>
        <v>4276655.2503000004</v>
      </c>
      <c r="AJ94" s="40"/>
      <c r="AK94" s="40"/>
      <c r="AL94" s="31"/>
      <c r="AM94" s="31"/>
    </row>
    <row r="95" spans="1:210" s="26" customFormat="1" ht="18.95" customHeight="1">
      <c r="A95" s="34">
        <v>81</v>
      </c>
      <c r="B95" s="35" t="s">
        <v>193</v>
      </c>
      <c r="C95" s="34"/>
      <c r="D95" s="34">
        <v>4</v>
      </c>
      <c r="E95" s="37">
        <v>2</v>
      </c>
      <c r="F95" s="36"/>
      <c r="G95" s="34">
        <v>2.89</v>
      </c>
      <c r="H95" s="38">
        <v>17697</v>
      </c>
      <c r="I95" s="39">
        <v>1.45</v>
      </c>
      <c r="J95" s="38"/>
      <c r="K95" s="38">
        <f>(H95*G95*E95*I95)</f>
        <v>148318.557</v>
      </c>
      <c r="L95" s="38"/>
      <c r="M95" s="38"/>
      <c r="N95" s="38"/>
      <c r="O95" s="38">
        <f>K95/164*0.5*2.67</f>
        <v>1207.3492292378048</v>
      </c>
      <c r="P95" s="38">
        <v>35</v>
      </c>
      <c r="Q95" s="38">
        <f>E95*H95*P95%</f>
        <v>12387.9</v>
      </c>
      <c r="R95" s="38"/>
      <c r="S95" s="38"/>
      <c r="T95" s="38"/>
      <c r="U95" s="38"/>
      <c r="V95" s="38"/>
      <c r="W95" s="38"/>
      <c r="X95" s="38"/>
      <c r="Y95" s="38"/>
      <c r="Z95" s="38">
        <v>70</v>
      </c>
      <c r="AA95" s="37">
        <f>Z95*300%</f>
        <v>210</v>
      </c>
      <c r="AB95" s="37">
        <f>K95*AA95%</f>
        <v>311468.96970000002</v>
      </c>
      <c r="AC95" s="37"/>
      <c r="AD95" s="37"/>
      <c r="AE95" s="38">
        <f>K95*0.1</f>
        <v>14831.8557</v>
      </c>
      <c r="AF95" s="38">
        <f>K95+N95+O95+Q95+S95+U95+W95+Y95+AB95+AE95+AD95</f>
        <v>488214.63162923785</v>
      </c>
      <c r="AG95" s="38">
        <f>AF95*12</f>
        <v>5858575.5795508539</v>
      </c>
      <c r="AH95" s="38">
        <f t="shared" si="31"/>
        <v>148318.557</v>
      </c>
      <c r="AI95" s="38">
        <f t="shared" si="22"/>
        <v>6006894.136550854</v>
      </c>
      <c r="AJ95" s="40"/>
      <c r="AK95" s="40"/>
      <c r="AL95" s="31"/>
      <c r="AM95" s="31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</row>
    <row r="96" spans="1:210" s="26" customFormat="1" ht="18.95" customHeight="1">
      <c r="A96" s="34">
        <v>82</v>
      </c>
      <c r="B96" s="35" t="s">
        <v>193</v>
      </c>
      <c r="C96" s="34"/>
      <c r="D96" s="34">
        <v>4</v>
      </c>
      <c r="E96" s="37">
        <v>1</v>
      </c>
      <c r="F96" s="36"/>
      <c r="G96" s="34">
        <v>2.89</v>
      </c>
      <c r="H96" s="38">
        <v>17697</v>
      </c>
      <c r="I96" s="39">
        <v>1.45</v>
      </c>
      <c r="J96" s="38"/>
      <c r="K96" s="38">
        <f>H96*G96*E96*I96</f>
        <v>74159.2785</v>
      </c>
      <c r="L96" s="38"/>
      <c r="M96" s="38"/>
      <c r="N96" s="38"/>
      <c r="O96" s="38"/>
      <c r="P96" s="38">
        <v>35</v>
      </c>
      <c r="Q96" s="38">
        <f>E96*H96*P96%</f>
        <v>6193.95</v>
      </c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7"/>
      <c r="AC96" s="37"/>
      <c r="AD96" s="37"/>
      <c r="AE96" s="38">
        <f>K96*0.1</f>
        <v>7415.92785</v>
      </c>
      <c r="AF96" s="38">
        <f>K96+N96+O96+Q96+S96+U96+W96+Y96+AB96+AE96+AD96</f>
        <v>87769.156350000005</v>
      </c>
      <c r="AG96" s="38">
        <f>AF96*12</f>
        <v>1053229.8762000001</v>
      </c>
      <c r="AH96" s="38">
        <f t="shared" si="31"/>
        <v>74159.2785</v>
      </c>
      <c r="AI96" s="38">
        <f t="shared" si="22"/>
        <v>1127389.1547000001</v>
      </c>
      <c r="AJ96" s="40"/>
      <c r="AK96" s="40"/>
      <c r="AL96" s="31"/>
      <c r="AM96" s="31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</row>
    <row r="97" spans="1:210" s="26" customFormat="1" ht="37.5" customHeight="1">
      <c r="A97" s="34">
        <v>83</v>
      </c>
      <c r="B97" s="68" t="s">
        <v>194</v>
      </c>
      <c r="C97" s="34"/>
      <c r="D97" s="36" t="s">
        <v>73</v>
      </c>
      <c r="E97" s="49">
        <v>1</v>
      </c>
      <c r="F97" s="34" t="s">
        <v>162</v>
      </c>
      <c r="G97" s="36">
        <v>4.2300000000000004</v>
      </c>
      <c r="H97" s="54">
        <v>17697</v>
      </c>
      <c r="I97" s="39">
        <v>1.45</v>
      </c>
      <c r="J97" s="38"/>
      <c r="K97" s="38">
        <f>H97*G97*E97*I97</f>
        <v>108544.54950000001</v>
      </c>
      <c r="L97" s="38">
        <v>0</v>
      </c>
      <c r="M97" s="38"/>
      <c r="N97" s="38"/>
      <c r="O97" s="38"/>
      <c r="P97" s="38"/>
      <c r="Q97" s="38"/>
      <c r="R97" s="38">
        <v>25</v>
      </c>
      <c r="S97" s="38">
        <f>E97*H97*R97%</f>
        <v>4424.25</v>
      </c>
      <c r="T97" s="38"/>
      <c r="U97" s="38"/>
      <c r="V97" s="38"/>
      <c r="W97" s="38"/>
      <c r="X97" s="38"/>
      <c r="Y97" s="38"/>
      <c r="Z97" s="38">
        <v>70</v>
      </c>
      <c r="AA97" s="37">
        <f>Z97*300%</f>
        <v>210</v>
      </c>
      <c r="AB97" s="37">
        <f>K97*AA97%</f>
        <v>227943.55395000003</v>
      </c>
      <c r="AC97" s="37"/>
      <c r="AD97" s="37"/>
      <c r="AE97" s="38">
        <f>K97*0.1</f>
        <v>10854.454950000001</v>
      </c>
      <c r="AF97" s="38">
        <f>K97+N97+O97+Q97+S97+U97+W97+Y97+AB97+AE97+AD97</f>
        <v>351766.80840000004</v>
      </c>
      <c r="AG97" s="38">
        <f>AF97*12</f>
        <v>4221201.7008000007</v>
      </c>
      <c r="AH97" s="38">
        <f t="shared" si="31"/>
        <v>108544.54950000001</v>
      </c>
      <c r="AI97" s="38">
        <f>AF97*12+AH97</f>
        <v>4329746.2503000004</v>
      </c>
      <c r="AJ97" s="40"/>
      <c r="AK97" s="40"/>
      <c r="AL97" s="31"/>
      <c r="AM97" s="31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</row>
    <row r="98" spans="1:210" s="26" customFormat="1" ht="18.95" customHeight="1">
      <c r="A98" s="34">
        <v>84</v>
      </c>
      <c r="B98" s="68" t="s">
        <v>195</v>
      </c>
      <c r="C98" s="35"/>
      <c r="D98" s="36" t="s">
        <v>73</v>
      </c>
      <c r="E98" s="49">
        <v>4</v>
      </c>
      <c r="F98" s="38" t="s">
        <v>74</v>
      </c>
      <c r="G98" s="36">
        <v>4.43</v>
      </c>
      <c r="H98" s="54">
        <v>17697</v>
      </c>
      <c r="I98" s="39">
        <v>1.45</v>
      </c>
      <c r="J98" s="38"/>
      <c r="K98" s="38">
        <f>H98*G98*E98*I98</f>
        <v>454706.71799999994</v>
      </c>
      <c r="L98" s="38">
        <v>0</v>
      </c>
      <c r="M98" s="38"/>
      <c r="N98" s="38">
        <f>K98/164*0.5*58</f>
        <v>80405.456231707314</v>
      </c>
      <c r="O98" s="38">
        <f>K98/164*0.5*2.67</f>
        <v>3701.4235885975604</v>
      </c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>
        <v>60</v>
      </c>
      <c r="AA98" s="37">
        <f>Z98*300%</f>
        <v>180</v>
      </c>
      <c r="AB98" s="37">
        <f>K98*AA98%</f>
        <v>818472.09239999985</v>
      </c>
      <c r="AC98" s="37"/>
      <c r="AD98" s="37"/>
      <c r="AE98" s="38">
        <f>K98*0.1</f>
        <v>45470.671799999996</v>
      </c>
      <c r="AF98" s="38">
        <f>K98+N98+O98+Q98+S98+U98+W98+Y98+AB98+AE98+AD98</f>
        <v>1402756.3620203047</v>
      </c>
      <c r="AG98" s="38">
        <f>AF98*12</f>
        <v>16833076.344243657</v>
      </c>
      <c r="AH98" s="38">
        <f t="shared" si="31"/>
        <v>454706.71799999994</v>
      </c>
      <c r="AI98" s="38">
        <f>AF98*12+AH98</f>
        <v>17287783.062243655</v>
      </c>
      <c r="AJ98" s="40"/>
      <c r="AK98" s="40"/>
      <c r="AL98" s="31"/>
      <c r="AM98" s="31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</row>
    <row r="99" spans="1:210">
      <c r="A99" s="27"/>
      <c r="B99" s="27" t="s">
        <v>196</v>
      </c>
      <c r="C99" s="28"/>
      <c r="D99" s="28"/>
      <c r="E99" s="77">
        <f>SUM(E15:E98)</f>
        <v>147</v>
      </c>
      <c r="F99" s="77"/>
      <c r="G99" s="77"/>
      <c r="H99" s="77"/>
      <c r="I99" s="77"/>
      <c r="J99" s="77">
        <f t="shared" ref="J99:AI99" si="32">SUM(J15:J98)</f>
        <v>6649700.8410000009</v>
      </c>
      <c r="K99" s="77">
        <f t="shared" si="32"/>
        <v>16167364.229250001</v>
      </c>
      <c r="L99" s="77">
        <f t="shared" si="32"/>
        <v>393999.81064329267</v>
      </c>
      <c r="M99" s="77">
        <f t="shared" si="32"/>
        <v>26375.776328003045</v>
      </c>
      <c r="N99" s="77">
        <f t="shared" si="32"/>
        <v>598321.86561585369</v>
      </c>
      <c r="O99" s="77">
        <f t="shared" si="32"/>
        <v>39639.907133643283</v>
      </c>
      <c r="P99" s="77"/>
      <c r="Q99" s="77">
        <f t="shared" si="32"/>
        <v>18581.849999999999</v>
      </c>
      <c r="R99" s="77"/>
      <c r="S99" s="77">
        <f t="shared" si="32"/>
        <v>13272.75</v>
      </c>
      <c r="T99" s="77"/>
      <c r="U99" s="77">
        <f t="shared" si="32"/>
        <v>74327.399999999994</v>
      </c>
      <c r="V99" s="77"/>
      <c r="W99" s="77">
        <f t="shared" si="32"/>
        <v>153963.90000000008</v>
      </c>
      <c r="X99" s="77"/>
      <c r="Y99" s="77"/>
      <c r="Z99" s="77"/>
      <c r="AA99" s="77"/>
      <c r="AB99" s="77">
        <f t="shared" si="32"/>
        <v>25921716.32097001</v>
      </c>
      <c r="AC99" s="77">
        <f t="shared" si="32"/>
        <v>1470</v>
      </c>
      <c r="AD99" s="77">
        <f t="shared" si="32"/>
        <v>1890420.0854999998</v>
      </c>
      <c r="AE99" s="77">
        <f t="shared" si="32"/>
        <v>1616736.4229249991</v>
      </c>
      <c r="AF99" s="77">
        <f t="shared" si="32"/>
        <v>46494344.731394492</v>
      </c>
      <c r="AG99" s="77">
        <f t="shared" si="32"/>
        <v>557932136.77673411</v>
      </c>
      <c r="AH99" s="77">
        <f t="shared" si="32"/>
        <v>15370087.83375</v>
      </c>
      <c r="AI99" s="77">
        <f t="shared" si="32"/>
        <v>573302224.61048412</v>
      </c>
      <c r="AJ99" s="78">
        <f>AI99-AH99</f>
        <v>557932136.77673411</v>
      </c>
      <c r="AK99" s="78"/>
      <c r="AL99" s="80"/>
      <c r="AM99" s="80"/>
    </row>
    <row r="100" spans="1:210">
      <c r="A100" s="19"/>
      <c r="B100" s="19"/>
      <c r="C100" s="30"/>
      <c r="D100" s="30"/>
      <c r="E100" s="80"/>
      <c r="F100" s="81"/>
      <c r="G100" s="81"/>
      <c r="H100" s="81"/>
      <c r="I100" s="81"/>
      <c r="J100" s="81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>
        <v>2017041000</v>
      </c>
      <c r="AK100" s="78"/>
      <c r="AL100" s="80"/>
      <c r="AM100" s="80"/>
    </row>
    <row r="101" spans="1:210">
      <c r="A101" s="19"/>
      <c r="B101" s="19"/>
      <c r="C101" s="30"/>
      <c r="D101" s="30"/>
      <c r="E101" s="80"/>
      <c r="F101" s="81"/>
      <c r="G101" s="81"/>
      <c r="H101" s="81"/>
      <c r="I101" s="81"/>
      <c r="J101" s="81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>
        <f>AJ99-AJ100</f>
        <v>-1459108863.2232659</v>
      </c>
      <c r="AK101" s="78"/>
      <c r="AL101" s="80"/>
      <c r="AM101" s="80"/>
    </row>
    <row r="102" spans="1:210">
      <c r="A102" s="19"/>
      <c r="B102" s="19"/>
      <c r="C102" s="30"/>
      <c r="D102" s="30"/>
      <c r="E102" s="78"/>
      <c r="F102" s="81"/>
      <c r="G102" s="81"/>
      <c r="H102" s="81"/>
      <c r="I102" s="81"/>
      <c r="J102" s="81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80"/>
      <c r="AM102" s="80"/>
    </row>
    <row r="103" spans="1:210" ht="23.25" customHeight="1">
      <c r="A103" s="19"/>
      <c r="B103" s="1538" t="s">
        <v>197</v>
      </c>
      <c r="C103" s="1538"/>
      <c r="D103" s="1538"/>
      <c r="E103" s="1538"/>
      <c r="F103" s="1538"/>
      <c r="G103" s="1538"/>
      <c r="H103" s="1538"/>
      <c r="I103" s="1538"/>
      <c r="J103" s="1538"/>
      <c r="K103" s="1538"/>
      <c r="L103" s="1538"/>
      <c r="M103" s="1538"/>
      <c r="N103" s="1538"/>
      <c r="O103" s="1538"/>
      <c r="P103" s="1538"/>
      <c r="Q103" s="1538"/>
      <c r="R103" s="1538"/>
      <c r="S103" s="1538"/>
      <c r="T103" s="1538"/>
      <c r="U103" s="1538"/>
      <c r="V103" s="1538"/>
      <c r="W103" s="1538"/>
      <c r="X103" s="1538"/>
      <c r="Y103" s="1538"/>
      <c r="Z103" s="1538"/>
      <c r="AA103" s="1538"/>
      <c r="AB103" s="1538"/>
      <c r="AC103" s="1538"/>
      <c r="AD103" s="1538"/>
      <c r="AE103" s="1538"/>
      <c r="AF103" s="78"/>
      <c r="AG103" s="78"/>
      <c r="AH103" s="78"/>
      <c r="AI103" s="78"/>
      <c r="AJ103" s="78"/>
      <c r="AK103" s="78"/>
      <c r="AL103" s="80"/>
      <c r="AM103" s="80"/>
    </row>
    <row r="104" spans="1:210">
      <c r="A104" s="19"/>
      <c r="B104" s="82"/>
      <c r="C104" s="83"/>
      <c r="D104" s="84"/>
      <c r="E104" s="1539"/>
      <c r="F104" s="1539"/>
      <c r="G104" s="81"/>
      <c r="H104" s="81"/>
      <c r="I104" s="81"/>
      <c r="J104" s="81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80"/>
      <c r="AM104" s="80"/>
    </row>
    <row r="105" spans="1:210">
      <c r="A105" s="19"/>
      <c r="B105" s="82"/>
      <c r="C105" s="83"/>
      <c r="D105" s="84"/>
      <c r="E105" s="85"/>
      <c r="F105" s="85"/>
      <c r="G105" s="81"/>
      <c r="H105" s="81"/>
      <c r="I105" s="81"/>
      <c r="J105" s="81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80"/>
      <c r="AM105" s="80"/>
    </row>
    <row r="106" spans="1:210">
      <c r="A106" s="26"/>
      <c r="B106" s="86"/>
      <c r="C106" s="83"/>
      <c r="D106" s="84"/>
      <c r="E106" s="87"/>
      <c r="F106" s="26"/>
      <c r="G106" s="26"/>
      <c r="H106" s="26"/>
      <c r="I106" s="26"/>
      <c r="J106" s="26"/>
      <c r="K106" s="88"/>
      <c r="L106" s="89"/>
      <c r="M106" s="89"/>
      <c r="N106" s="86"/>
      <c r="O106" s="9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1540"/>
      <c r="AB106" s="1540"/>
      <c r="AC106" s="91"/>
      <c r="AD106" s="92"/>
      <c r="AE106" s="92"/>
      <c r="AF106" s="92"/>
      <c r="AG106" s="92"/>
      <c r="AH106" s="92"/>
      <c r="AI106" s="92"/>
      <c r="AJ106" s="92"/>
      <c r="AK106" s="92"/>
    </row>
    <row r="107" spans="1:210">
      <c r="A107" s="26"/>
      <c r="B107" s="82"/>
      <c r="C107" s="83"/>
      <c r="D107" s="84"/>
      <c r="E107" s="93"/>
      <c r="F107" s="24"/>
      <c r="G107" s="24"/>
      <c r="H107" s="21"/>
      <c r="I107" s="21"/>
      <c r="J107" s="21"/>
      <c r="K107" s="88"/>
      <c r="L107" s="89"/>
      <c r="M107" s="89"/>
      <c r="N107" s="94"/>
      <c r="O107" s="89"/>
      <c r="P107" s="30"/>
      <c r="Q107" s="30"/>
      <c r="R107" s="30"/>
      <c r="S107" s="30"/>
      <c r="T107" s="30"/>
      <c r="U107" s="40"/>
      <c r="V107" s="40"/>
      <c r="W107" s="40"/>
      <c r="X107" s="40"/>
      <c r="Y107" s="40"/>
      <c r="Z107" s="40"/>
      <c r="AA107" s="94"/>
      <c r="AB107" s="89"/>
      <c r="AC107" s="89"/>
      <c r="AD107" s="92"/>
      <c r="AE107" s="40"/>
      <c r="AF107" s="40"/>
      <c r="AG107" s="40"/>
      <c r="AH107" s="40"/>
      <c r="AI107" s="40"/>
      <c r="AJ107" s="92"/>
      <c r="AK107" s="92"/>
    </row>
    <row r="108" spans="1:210">
      <c r="A108" s="26"/>
      <c r="B108" s="82"/>
      <c r="C108" s="83"/>
      <c r="D108" s="84"/>
      <c r="E108" s="93"/>
      <c r="F108" s="24"/>
      <c r="G108" s="24"/>
      <c r="H108" s="21"/>
      <c r="I108" s="21"/>
      <c r="J108" s="21"/>
      <c r="K108" s="88"/>
      <c r="L108" s="89"/>
      <c r="M108" s="89"/>
      <c r="N108" s="94"/>
      <c r="O108" s="89"/>
      <c r="P108" s="30"/>
      <c r="Q108" s="30"/>
      <c r="R108" s="30"/>
      <c r="S108" s="30"/>
      <c r="T108" s="30"/>
      <c r="U108" s="40"/>
      <c r="V108" s="40"/>
      <c r="W108" s="40"/>
      <c r="X108" s="40"/>
      <c r="Y108" s="40"/>
      <c r="Z108" s="40"/>
      <c r="AA108" s="94"/>
      <c r="AB108" s="89"/>
      <c r="AC108" s="89"/>
      <c r="AD108" s="92"/>
      <c r="AE108" s="40"/>
      <c r="AF108" s="40"/>
      <c r="AG108" s="40"/>
      <c r="AH108" s="40"/>
      <c r="AI108" s="40"/>
      <c r="AJ108" s="92"/>
      <c r="AK108" s="92"/>
    </row>
    <row r="109" spans="1:210">
      <c r="A109" s="26"/>
      <c r="B109" s="82"/>
      <c r="C109" s="83"/>
      <c r="D109" s="84"/>
      <c r="E109" s="95"/>
      <c r="F109" s="24"/>
      <c r="G109" s="24"/>
      <c r="H109" s="21"/>
      <c r="I109" s="21"/>
      <c r="J109" s="21"/>
      <c r="K109" s="88"/>
      <c r="L109" s="89"/>
      <c r="M109" s="89"/>
      <c r="N109" s="86"/>
      <c r="O109" s="89"/>
      <c r="P109" s="30"/>
      <c r="Q109" s="30"/>
      <c r="R109" s="30"/>
      <c r="S109" s="30"/>
      <c r="T109" s="30"/>
      <c r="U109" s="40"/>
      <c r="V109" s="40"/>
      <c r="W109" s="40"/>
      <c r="X109" s="40"/>
      <c r="Y109" s="40"/>
      <c r="Z109" s="40"/>
      <c r="AA109" s="94"/>
      <c r="AB109" s="89"/>
      <c r="AC109" s="89"/>
      <c r="AD109" s="92"/>
      <c r="AE109" s="40"/>
      <c r="AF109" s="40"/>
      <c r="AG109" s="40"/>
      <c r="AH109" s="40"/>
      <c r="AI109" s="40"/>
      <c r="AJ109" s="92"/>
      <c r="AK109" s="92"/>
    </row>
    <row r="110" spans="1:210">
      <c r="A110" s="26"/>
      <c r="B110" s="82"/>
      <c r="C110" s="83"/>
      <c r="D110" s="84"/>
      <c r="E110" s="93"/>
      <c r="F110" s="24"/>
      <c r="G110" s="24"/>
      <c r="H110" s="21"/>
      <c r="I110" s="21"/>
      <c r="J110" s="21"/>
      <c r="K110" s="88"/>
      <c r="L110" s="89"/>
      <c r="M110" s="89"/>
      <c r="N110" s="94"/>
      <c r="O110" s="89"/>
      <c r="P110" s="30"/>
      <c r="Q110" s="30"/>
      <c r="R110" s="30"/>
      <c r="S110" s="30"/>
      <c r="T110" s="30"/>
      <c r="U110" s="40"/>
      <c r="V110" s="40"/>
      <c r="W110" s="40"/>
      <c r="X110" s="40"/>
      <c r="Y110" s="40"/>
      <c r="Z110" s="40"/>
      <c r="AA110" s="94"/>
      <c r="AB110" s="89"/>
      <c r="AC110" s="89"/>
      <c r="AD110" s="92"/>
      <c r="AE110" s="40"/>
      <c r="AF110" s="40"/>
      <c r="AG110" s="40"/>
      <c r="AH110" s="40"/>
      <c r="AI110" s="40"/>
      <c r="AJ110" s="92"/>
      <c r="AK110" s="92"/>
    </row>
    <row r="111" spans="1:210">
      <c r="A111" s="26"/>
      <c r="B111" s="82"/>
      <c r="C111" s="83"/>
      <c r="D111" s="84"/>
      <c r="E111" s="93"/>
      <c r="F111" s="24"/>
      <c r="G111" s="24"/>
      <c r="H111" s="21"/>
      <c r="I111" s="21"/>
      <c r="J111" s="21"/>
      <c r="K111" s="88"/>
      <c r="L111" s="89"/>
      <c r="M111" s="89"/>
      <c r="N111" s="94"/>
      <c r="O111" s="89"/>
      <c r="P111" s="30"/>
      <c r="Q111" s="30"/>
      <c r="R111" s="30"/>
      <c r="S111" s="30"/>
      <c r="T111" s="30"/>
      <c r="U111" s="40"/>
      <c r="V111" s="40"/>
      <c r="W111" s="40"/>
      <c r="X111" s="40"/>
      <c r="Y111" s="40"/>
      <c r="Z111" s="40"/>
      <c r="AA111" s="94"/>
      <c r="AB111" s="89"/>
      <c r="AC111" s="89"/>
      <c r="AD111" s="92"/>
      <c r="AE111" s="40"/>
      <c r="AF111" s="40"/>
      <c r="AG111" s="40"/>
      <c r="AH111" s="40"/>
      <c r="AI111" s="40"/>
      <c r="AJ111" s="92"/>
      <c r="AK111" s="92"/>
    </row>
    <row r="112" spans="1:210">
      <c r="A112" s="26"/>
      <c r="B112" s="82"/>
      <c r="C112" s="83"/>
      <c r="D112" s="84"/>
      <c r="E112" s="95"/>
      <c r="F112" s="24"/>
      <c r="G112" s="24"/>
      <c r="H112" s="21"/>
      <c r="I112" s="21"/>
      <c r="J112" s="21"/>
      <c r="K112" s="88"/>
      <c r="L112" s="89"/>
      <c r="M112" s="89"/>
      <c r="N112" s="86"/>
      <c r="O112" s="89"/>
      <c r="P112" s="30"/>
      <c r="Q112" s="30"/>
      <c r="R112" s="30"/>
      <c r="S112" s="30"/>
      <c r="T112" s="30"/>
      <c r="U112" s="40"/>
      <c r="V112" s="40"/>
      <c r="W112" s="40"/>
      <c r="X112" s="40"/>
      <c r="Y112" s="40"/>
      <c r="Z112" s="40"/>
      <c r="AA112" s="96"/>
      <c r="AB112" s="89"/>
      <c r="AC112" s="89"/>
      <c r="AD112" s="92"/>
      <c r="AE112" s="40"/>
      <c r="AF112" s="40"/>
      <c r="AG112" s="40"/>
      <c r="AH112" s="40"/>
      <c r="AI112" s="40"/>
      <c r="AJ112" s="40"/>
      <c r="AK112" s="40"/>
      <c r="AL112" s="97"/>
    </row>
    <row r="113" spans="1:256">
      <c r="B113" s="82"/>
      <c r="C113" s="98"/>
      <c r="D113" s="82"/>
      <c r="AG113" s="99"/>
      <c r="AH113" s="99"/>
      <c r="AI113" s="99"/>
      <c r="AJ113" s="40"/>
      <c r="AK113" s="40"/>
      <c r="AL113" s="97"/>
      <c r="AO113" s="100"/>
    </row>
    <row r="114" spans="1:256">
      <c r="B114" s="82"/>
      <c r="C114" s="98"/>
      <c r="D114" s="82"/>
      <c r="AG114" s="99"/>
      <c r="AH114" s="99"/>
      <c r="AI114" s="99"/>
      <c r="AJ114" s="40"/>
      <c r="AK114" s="40"/>
      <c r="AL114" s="97"/>
      <c r="AO114" s="100"/>
    </row>
    <row r="115" spans="1:256">
      <c r="B115" s="82"/>
      <c r="E115" s="101"/>
      <c r="N115" s="86"/>
      <c r="AE115" s="92"/>
      <c r="AF115" s="92"/>
      <c r="AG115" s="99"/>
      <c r="AH115" s="99"/>
      <c r="AI115" s="99"/>
      <c r="AJ115" s="92"/>
      <c r="AK115" s="92"/>
    </row>
    <row r="116" spans="1:256">
      <c r="E116" s="101"/>
      <c r="AF116" s="92"/>
      <c r="AG116" s="92"/>
      <c r="AH116" s="92"/>
      <c r="AI116" s="92"/>
      <c r="AJ116" s="92"/>
      <c r="AK116" s="92"/>
      <c r="AO116" s="100"/>
    </row>
    <row r="117" spans="1:256">
      <c r="B117" s="102"/>
      <c r="AF117" s="92"/>
      <c r="AG117" s="92"/>
      <c r="AH117" s="92"/>
      <c r="AI117" s="92"/>
      <c r="AJ117" s="92"/>
      <c r="AK117" s="92"/>
    </row>
    <row r="118" spans="1:256">
      <c r="B118" s="18"/>
      <c r="D118" s="103"/>
      <c r="E118" s="104"/>
      <c r="AH118" s="78"/>
      <c r="AI118" s="78"/>
    </row>
    <row r="119" spans="1:256">
      <c r="B119" s="103"/>
      <c r="E119" s="105">
        <v>141</v>
      </c>
      <c r="AH119" s="78">
        <v>12158000</v>
      </c>
      <c r="AI119" s="78">
        <v>282221000</v>
      </c>
    </row>
    <row r="120" spans="1:256" s="8" customFormat="1">
      <c r="A120" s="4"/>
      <c r="B120" s="19"/>
      <c r="C120" s="5"/>
      <c r="D120" s="106"/>
      <c r="E120" s="105">
        <f>E118+E119</f>
        <v>141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78">
        <f>AH118+AH119</f>
        <v>12158000</v>
      </c>
      <c r="AI120" s="78">
        <f>AI118+AI119</f>
        <v>282221000</v>
      </c>
      <c r="AJ120" s="100"/>
      <c r="AK120" s="10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>
      <c r="B121" s="19"/>
      <c r="D121" s="106"/>
      <c r="E121" s="105">
        <f>E120-E99</f>
        <v>-6</v>
      </c>
      <c r="AH121" s="78">
        <f>AH120-AH99</f>
        <v>-3212087.8337500002</v>
      </c>
      <c r="AI121" s="78">
        <f>AI120-AI99</f>
        <v>-291081224.61048412</v>
      </c>
    </row>
    <row r="122" spans="1:256">
      <c r="B122" s="24"/>
      <c r="D122" s="103"/>
    </row>
    <row r="123" spans="1:256" s="8" customFormat="1">
      <c r="A123" s="4"/>
      <c r="B123" s="18"/>
      <c r="C123" s="5"/>
      <c r="D123" s="103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100"/>
      <c r="AC123" s="100"/>
      <c r="AD123" s="4"/>
      <c r="AE123" s="4"/>
      <c r="AF123" s="4"/>
      <c r="AG123" s="4"/>
      <c r="AH123" s="4"/>
      <c r="AI123" s="4"/>
      <c r="AJ123" s="4"/>
      <c r="AK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pans="1:256">
      <c r="B124" s="18"/>
      <c r="D124" s="103"/>
    </row>
    <row r="125" spans="1:256">
      <c r="B125" s="107"/>
      <c r="D125" s="103"/>
    </row>
    <row r="126" spans="1:256">
      <c r="B126" s="107"/>
      <c r="D126" s="103"/>
    </row>
    <row r="127" spans="1:256">
      <c r="B127" s="19"/>
      <c r="D127" s="106"/>
      <c r="E127" s="4"/>
      <c r="AL127" s="4"/>
      <c r="AM127" s="4"/>
    </row>
  </sheetData>
  <mergeCells count="43">
    <mergeCell ref="B103:AE103"/>
    <mergeCell ref="E104:F104"/>
    <mergeCell ref="AA106:AB106"/>
    <mergeCell ref="AD13:AD14"/>
    <mergeCell ref="AE13:AE14"/>
    <mergeCell ref="Q13:Q14"/>
    <mergeCell ref="R13:R14"/>
    <mergeCell ref="T13:T14"/>
    <mergeCell ref="U13:U14"/>
    <mergeCell ref="V13:V14"/>
    <mergeCell ref="W13:W14"/>
    <mergeCell ref="I13:I14"/>
    <mergeCell ref="K13:K14"/>
    <mergeCell ref="L13:L14"/>
    <mergeCell ref="N13:N14"/>
    <mergeCell ref="O13:O14"/>
    <mergeCell ref="Y13:Y14"/>
    <mergeCell ref="Z13:Z14"/>
    <mergeCell ref="AA13:AA14"/>
    <mergeCell ref="AB13:AB14"/>
    <mergeCell ref="AC13:AC14"/>
    <mergeCell ref="P13:P14"/>
    <mergeCell ref="AE9:AI9"/>
    <mergeCell ref="A11:AI11"/>
    <mergeCell ref="A13:A14"/>
    <mergeCell ref="B13:B14"/>
    <mergeCell ref="C13:C14"/>
    <mergeCell ref="D13:D14"/>
    <mergeCell ref="E13:E14"/>
    <mergeCell ref="F13:F14"/>
    <mergeCell ref="G13:G14"/>
    <mergeCell ref="H13:H14"/>
    <mergeCell ref="AF13:AF14"/>
    <mergeCell ref="AG13:AG14"/>
    <mergeCell ref="AH13:AH14"/>
    <mergeCell ref="AI13:AI14"/>
    <mergeCell ref="X13:X14"/>
    <mergeCell ref="A2:F6"/>
    <mergeCell ref="AE2:AI6"/>
    <mergeCell ref="A7:F7"/>
    <mergeCell ref="AF7:AI7"/>
    <mergeCell ref="A8:F8"/>
    <mergeCell ref="AF8:AI8"/>
  </mergeCells>
  <pageMargins left="0.7" right="0.7" top="0.75" bottom="0.75" header="0.3" footer="0.3"/>
  <pageSetup paperSize="9" scale="20" orientation="portrait" r:id="rId1"/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K32"/>
  <sheetViews>
    <sheetView view="pageBreakPreview" zoomScale="60" zoomScaleNormal="100" workbookViewId="0">
      <selection activeCell="B15" sqref="B15:E15"/>
    </sheetView>
  </sheetViews>
  <sheetFormatPr defaultColWidth="9.140625" defaultRowHeight="15.75"/>
  <cols>
    <col min="1" max="1" width="5.85546875" style="747" customWidth="1"/>
    <col min="2" max="2" width="37.140625" style="747" customWidth="1"/>
    <col min="3" max="3" width="16.42578125" style="747" customWidth="1"/>
    <col min="4" max="5" width="14.7109375" style="747" customWidth="1"/>
    <col min="6" max="6" width="14" style="749" customWidth="1"/>
    <col min="7" max="7" width="13.28515625" style="747" customWidth="1"/>
    <col min="8" max="8" width="15.42578125" style="747" customWidth="1"/>
    <col min="9" max="9" width="11.28515625" style="747" bestFit="1" customWidth="1"/>
    <col min="10" max="10" width="12.7109375" style="747" customWidth="1"/>
    <col min="11" max="11" width="17.140625" style="747" customWidth="1"/>
    <col min="12" max="16384" width="9.140625" style="747"/>
  </cols>
  <sheetData>
    <row r="1" spans="1:11" ht="26.25" customHeight="1">
      <c r="A1" s="1685" t="s">
        <v>1230</v>
      </c>
      <c r="B1" s="1685"/>
      <c r="C1" s="1685"/>
      <c r="D1" s="1685"/>
      <c r="E1" s="1685"/>
      <c r="F1" s="1685"/>
      <c r="G1" s="1685"/>
      <c r="H1" s="1685"/>
    </row>
    <row r="2" spans="1:11">
      <c r="A2" s="1686" t="s">
        <v>672</v>
      </c>
      <c r="B2" s="1686"/>
      <c r="C2" s="1686"/>
      <c r="D2" s="1686"/>
      <c r="E2" s="1686"/>
      <c r="F2" s="1686"/>
      <c r="G2" s="1686"/>
      <c r="H2" s="1686"/>
    </row>
    <row r="3" spans="1:11" ht="16.5" thickBot="1">
      <c r="A3" s="748" t="s">
        <v>1080</v>
      </c>
      <c r="B3" s="898"/>
      <c r="C3" s="898"/>
      <c r="D3" s="898"/>
      <c r="E3" s="898"/>
      <c r="F3" s="898"/>
      <c r="G3" s="899"/>
    </row>
    <row r="4" spans="1:11" s="750" customFormat="1" ht="94.5">
      <c r="A4" s="1099" t="s">
        <v>256</v>
      </c>
      <c r="B4" s="1100" t="s">
        <v>247</v>
      </c>
      <c r="C4" s="1100" t="s">
        <v>531</v>
      </c>
      <c r="D4" s="1100" t="s">
        <v>523</v>
      </c>
      <c r="E4" s="1100" t="s">
        <v>524</v>
      </c>
      <c r="F4" s="1100" t="s">
        <v>525</v>
      </c>
      <c r="G4" s="1101" t="s">
        <v>1160</v>
      </c>
    </row>
    <row r="5" spans="1:11" s="751" customFormat="1">
      <c r="A5" s="1241"/>
      <c r="B5" s="1359">
        <v>1</v>
      </c>
      <c r="C5" s="1359">
        <v>2</v>
      </c>
      <c r="D5" s="1359">
        <v>3</v>
      </c>
      <c r="E5" s="1359">
        <v>4</v>
      </c>
      <c r="F5" s="1359">
        <v>5</v>
      </c>
      <c r="G5" s="1242">
        <v>6</v>
      </c>
      <c r="H5" s="1243"/>
    </row>
    <row r="6" spans="1:11">
      <c r="A6" s="1244">
        <v>1</v>
      </c>
      <c r="B6" s="1245" t="s">
        <v>528</v>
      </c>
      <c r="C6" s="1246">
        <v>20758</v>
      </c>
      <c r="D6" s="1247">
        <v>211.55</v>
      </c>
      <c r="E6" s="1248">
        <f>C6*D6</f>
        <v>4391354.9000000004</v>
      </c>
      <c r="F6" s="1249">
        <v>1</v>
      </c>
      <c r="G6" s="1250">
        <f>E6*F6/1000</f>
        <v>4391.3549000000003</v>
      </c>
      <c r="H6" s="1251"/>
      <c r="I6" s="747">
        <v>2954.6</v>
      </c>
      <c r="J6" s="747" t="s">
        <v>1510</v>
      </c>
    </row>
    <row r="7" spans="1:11">
      <c r="A7" s="1244">
        <v>2</v>
      </c>
      <c r="B7" s="1245" t="s">
        <v>529</v>
      </c>
      <c r="C7" s="1246">
        <v>20758</v>
      </c>
      <c r="D7" s="1247">
        <v>219.83</v>
      </c>
      <c r="E7" s="1248">
        <f>C7*D7</f>
        <v>4563231.1400000006</v>
      </c>
      <c r="F7" s="1249">
        <v>1</v>
      </c>
      <c r="G7" s="1250">
        <f>E7*F7/1000</f>
        <v>4563.2311400000008</v>
      </c>
      <c r="H7" s="1251"/>
    </row>
    <row r="8" spans="1:11" ht="16.5" thickBot="1">
      <c r="A8" s="1690" t="s">
        <v>530</v>
      </c>
      <c r="B8" s="1691"/>
      <c r="C8" s="1691"/>
      <c r="D8" s="1691"/>
      <c r="E8" s="1692"/>
      <c r="F8" s="1252"/>
      <c r="G8" s="1367">
        <f>SUM(G6:G7)</f>
        <v>8954.586040000002</v>
      </c>
      <c r="H8" s="1253"/>
    </row>
    <row r="9" spans="1:11">
      <c r="A9" s="1254"/>
      <c r="B9" s="1255"/>
      <c r="C9" s="1254"/>
      <c r="D9" s="1254"/>
      <c r="E9" s="1254"/>
      <c r="F9" s="1256"/>
      <c r="G9" s="1257"/>
      <c r="H9" s="1253"/>
    </row>
    <row r="10" spans="1:11" ht="16.5" thickBot="1">
      <c r="A10" s="1258" t="s">
        <v>22</v>
      </c>
      <c r="B10" s="1258"/>
      <c r="C10" s="1258"/>
      <c r="D10" s="1258"/>
      <c r="E10" s="1258"/>
      <c r="F10" s="1259"/>
      <c r="G10" s="1260"/>
      <c r="H10" s="1251"/>
    </row>
    <row r="11" spans="1:11" s="751" customFormat="1" ht="154.5" customHeight="1">
      <c r="A11" s="1693" t="s">
        <v>256</v>
      </c>
      <c r="B11" s="1358" t="s">
        <v>536</v>
      </c>
      <c r="C11" s="1358" t="s">
        <v>532</v>
      </c>
      <c r="D11" s="1358" t="s">
        <v>533</v>
      </c>
      <c r="E11" s="1358" t="s">
        <v>525</v>
      </c>
      <c r="F11" s="1695" t="s">
        <v>1161</v>
      </c>
      <c r="G11" s="1696"/>
      <c r="H11" s="1243"/>
      <c r="I11" s="747"/>
    </row>
    <row r="12" spans="1:11" ht="12.75" customHeight="1">
      <c r="A12" s="1694"/>
      <c r="B12" s="1359">
        <v>1</v>
      </c>
      <c r="C12" s="1359">
        <v>2</v>
      </c>
      <c r="D12" s="1359">
        <v>3</v>
      </c>
      <c r="E12" s="1359">
        <v>4</v>
      </c>
      <c r="F12" s="1697">
        <v>5</v>
      </c>
      <c r="G12" s="1711"/>
      <c r="H12" s="1251"/>
    </row>
    <row r="13" spans="1:11">
      <c r="A13" s="1694"/>
      <c r="B13" s="1360" t="s">
        <v>534</v>
      </c>
      <c r="C13" s="1360" t="s">
        <v>471</v>
      </c>
      <c r="D13" s="1360" t="s">
        <v>471</v>
      </c>
      <c r="E13" s="1360" t="s">
        <v>526</v>
      </c>
      <c r="F13" s="1699" t="s">
        <v>527</v>
      </c>
      <c r="G13" s="1712"/>
      <c r="H13" s="1251"/>
      <c r="I13" s="1189"/>
    </row>
    <row r="14" spans="1:11">
      <c r="A14" s="1357">
        <v>1</v>
      </c>
      <c r="B14" s="1261">
        <v>240000</v>
      </c>
      <c r="C14" s="1362">
        <v>73.66</v>
      </c>
      <c r="D14" s="1248">
        <f>B14*C14*8.55199</f>
        <v>151185500.016</v>
      </c>
      <c r="E14" s="1249">
        <v>1</v>
      </c>
      <c r="F14" s="1701">
        <f>D14*E14/1000</f>
        <v>151185.50001600001</v>
      </c>
      <c r="G14" s="1714"/>
      <c r="H14" s="1251"/>
      <c r="I14" s="1189"/>
      <c r="K14" s="747">
        <v>73</v>
      </c>
    </row>
    <row r="15" spans="1:11" ht="16.5" thickBot="1">
      <c r="A15" s="1262"/>
      <c r="B15" s="1703" t="s">
        <v>261</v>
      </c>
      <c r="C15" s="1704"/>
      <c r="D15" s="1704"/>
      <c r="E15" s="1704"/>
      <c r="F15" s="897"/>
      <c r="G15" s="1363">
        <f>F14</f>
        <v>151185.50001600001</v>
      </c>
      <c r="H15" s="1251"/>
      <c r="I15" s="1189"/>
      <c r="J15" s="747">
        <v>151185.43</v>
      </c>
      <c r="K15" s="747">
        <f>J15/240/C14</f>
        <v>8.5519860394605853</v>
      </c>
    </row>
    <row r="16" spans="1:11">
      <c r="A16" s="1251"/>
      <c r="B16" s="1255" t="s">
        <v>1512</v>
      </c>
      <c r="C16" s="1255"/>
      <c r="D16" s="1255"/>
      <c r="E16" s="1255"/>
      <c r="F16" s="895"/>
      <c r="G16" s="896"/>
      <c r="H16" s="1251"/>
    </row>
    <row r="17" spans="1:11">
      <c r="A17" s="1251"/>
      <c r="B17" s="1255"/>
      <c r="C17" s="1255"/>
      <c r="D17" s="1255"/>
      <c r="E17" s="1255"/>
      <c r="F17" s="895"/>
      <c r="G17" s="896"/>
      <c r="H17" s="1251"/>
      <c r="I17" s="1189"/>
    </row>
    <row r="18" spans="1:11" ht="16.5" thickBot="1">
      <c r="A18" s="1258" t="s">
        <v>23</v>
      </c>
      <c r="B18" s="1251"/>
      <c r="C18" s="1251"/>
      <c r="D18" s="1251"/>
      <c r="E18" s="1251"/>
      <c r="F18" s="1251"/>
      <c r="G18" s="1251"/>
      <c r="H18" s="1260"/>
    </row>
    <row r="19" spans="1:11" s="750" customFormat="1" ht="78.75" customHeight="1">
      <c r="A19" s="1356" t="s">
        <v>535</v>
      </c>
      <c r="B19" s="1355" t="s">
        <v>247</v>
      </c>
      <c r="C19" s="1355" t="s">
        <v>262</v>
      </c>
      <c r="D19" s="1355" t="s">
        <v>257</v>
      </c>
      <c r="E19" s="1355" t="s">
        <v>258</v>
      </c>
      <c r="F19" s="1355" t="s">
        <v>259</v>
      </c>
      <c r="G19" s="1715" t="s">
        <v>260</v>
      </c>
      <c r="H19" s="1716"/>
    </row>
    <row r="20" spans="1:11" s="752" customFormat="1" ht="32.25" customHeight="1">
      <c r="A20" s="1263">
        <v>1</v>
      </c>
      <c r="B20" s="1264" t="s">
        <v>23</v>
      </c>
      <c r="C20" s="1364">
        <v>611.71</v>
      </c>
      <c r="D20" s="1265">
        <v>5571.73</v>
      </c>
      <c r="E20" s="1266">
        <v>1</v>
      </c>
      <c r="F20" s="1265">
        <f>C20*D20</f>
        <v>3408282.9583000001</v>
      </c>
      <c r="G20" s="1717">
        <f>F20*7/1000</f>
        <v>23857.9807081</v>
      </c>
      <c r="H20" s="1718"/>
      <c r="K20" s="752">
        <v>100030</v>
      </c>
    </row>
    <row r="21" spans="1:11" s="728" customFormat="1" ht="24" customHeight="1">
      <c r="A21" s="1267"/>
      <c r="B21" s="1705" t="s">
        <v>261</v>
      </c>
      <c r="C21" s="1706"/>
      <c r="D21" s="1706"/>
      <c r="E21" s="1706"/>
      <c r="F21" s="1706"/>
      <c r="G21" s="753"/>
      <c r="H21" s="1365">
        <f>G20</f>
        <v>23857.9807081</v>
      </c>
      <c r="I21" s="948"/>
    </row>
    <row r="22" spans="1:11" s="728" customFormat="1" ht="24" customHeight="1" thickBot="1">
      <c r="A22" s="1268"/>
      <c r="B22" s="1707" t="s">
        <v>1079</v>
      </c>
      <c r="C22" s="1708"/>
      <c r="D22" s="1708"/>
      <c r="E22" s="1708"/>
      <c r="F22" s="1708"/>
      <c r="G22" s="1269"/>
      <c r="H22" s="1366">
        <f>G8+G15+H21</f>
        <v>183998.06676409999</v>
      </c>
      <c r="I22" s="1102"/>
      <c r="J22" s="1102">
        <v>183999</v>
      </c>
    </row>
    <row r="23" spans="1:11" s="728" customFormat="1" ht="24" customHeight="1">
      <c r="A23" s="1270"/>
      <c r="B23" s="1255" t="s">
        <v>1511</v>
      </c>
      <c r="C23" s="1271"/>
      <c r="D23" s="1271"/>
      <c r="E23" s="1271"/>
      <c r="F23" s="1271"/>
      <c r="G23" s="890"/>
      <c r="H23" s="891"/>
      <c r="I23" s="948"/>
      <c r="J23" s="1297"/>
      <c r="K23" s="948"/>
    </row>
    <row r="24" spans="1:11">
      <c r="A24" s="1272"/>
      <c r="B24" s="1272"/>
      <c r="C24" s="1272"/>
      <c r="D24" s="1272"/>
      <c r="E24" s="1272"/>
      <c r="F24" s="1272"/>
      <c r="G24" s="1251"/>
      <c r="H24" s="1251"/>
    </row>
    <row r="25" spans="1:11" ht="18.75">
      <c r="A25" s="1273" t="s">
        <v>640</v>
      </c>
      <c r="B25" s="1273"/>
      <c r="C25" s="1273"/>
      <c r="D25" s="1055"/>
      <c r="E25" s="1273" t="s">
        <v>1167</v>
      </c>
      <c r="F25" s="1273"/>
      <c r="G25" s="1274"/>
      <c r="H25" s="1251"/>
    </row>
    <row r="26" spans="1:11" ht="18.75">
      <c r="A26" s="1273"/>
      <c r="B26" s="1273"/>
      <c r="C26" s="1273"/>
      <c r="D26" s="1055"/>
      <c r="E26" s="1273"/>
      <c r="F26" s="1273"/>
      <c r="G26" s="1274"/>
      <c r="H26" s="1251"/>
    </row>
    <row r="27" spans="1:11" ht="18.75">
      <c r="A27" s="1273"/>
      <c r="B27" s="1273"/>
      <c r="C27" s="1273"/>
      <c r="D27" s="1055"/>
      <c r="E27" s="1273"/>
      <c r="F27" s="1273"/>
      <c r="G27" s="1274"/>
      <c r="H27" s="1251"/>
    </row>
    <row r="28" spans="1:11" ht="18.75">
      <c r="A28" s="1273" t="s">
        <v>1166</v>
      </c>
      <c r="B28" s="1273"/>
      <c r="C28" s="1273"/>
      <c r="D28" s="1055"/>
      <c r="E28" s="1713" t="s">
        <v>1168</v>
      </c>
      <c r="F28" s="1713"/>
      <c r="G28" s="1274"/>
      <c r="H28" s="1251"/>
    </row>
    <row r="29" spans="1:11" ht="18.75">
      <c r="A29" s="1251"/>
      <c r="B29" s="1273"/>
      <c r="C29" s="1273"/>
      <c r="D29" s="1055"/>
      <c r="E29" s="654"/>
      <c r="F29" s="1273"/>
      <c r="G29" s="1274"/>
      <c r="H29" s="1251"/>
    </row>
    <row r="30" spans="1:11" ht="18.75">
      <c r="B30" s="673"/>
      <c r="C30" s="673"/>
      <c r="D30" s="743"/>
      <c r="E30" s="653"/>
      <c r="F30" s="673"/>
      <c r="G30" s="741"/>
    </row>
    <row r="31" spans="1:11" ht="18.75">
      <c r="B31" s="674"/>
      <c r="C31" s="673"/>
      <c r="D31" s="742"/>
      <c r="E31" s="653"/>
      <c r="F31" s="674"/>
      <c r="G31" s="741"/>
    </row>
    <row r="32" spans="1:11">
      <c r="B32" s="739"/>
      <c r="C32" s="740"/>
      <c r="D32" s="739"/>
      <c r="E32" s="739"/>
      <c r="F32" s="741"/>
      <c r="G32" s="741"/>
    </row>
  </sheetData>
  <mergeCells count="14">
    <mergeCell ref="E28:F28"/>
    <mergeCell ref="F14:G14"/>
    <mergeCell ref="B15:E15"/>
    <mergeCell ref="G19:H19"/>
    <mergeCell ref="G20:H20"/>
    <mergeCell ref="B21:F21"/>
    <mergeCell ref="B22:F22"/>
    <mergeCell ref="A1:H1"/>
    <mergeCell ref="A2:H2"/>
    <mergeCell ref="A8:E8"/>
    <mergeCell ref="A11:A13"/>
    <mergeCell ref="F11:G11"/>
    <mergeCell ref="F12:G12"/>
    <mergeCell ref="F13:G13"/>
  </mergeCells>
  <pageMargins left="0.7" right="0.7" top="0.75" bottom="0.75" header="0.3" footer="0.3"/>
  <pageSetup paperSize="9" scale="66" orientation="portrait" verticalDpi="300" r:id="rId1"/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K32"/>
  <sheetViews>
    <sheetView view="pageBreakPreview" topLeftCell="A8" zoomScale="60" zoomScaleNormal="100" workbookViewId="0">
      <selection activeCell="F24" sqref="F24"/>
    </sheetView>
  </sheetViews>
  <sheetFormatPr defaultColWidth="9.140625" defaultRowHeight="15.75"/>
  <cols>
    <col min="1" max="1" width="5.85546875" style="747" customWidth="1"/>
    <col min="2" max="2" width="37.140625" style="747" customWidth="1"/>
    <col min="3" max="3" width="15.7109375" style="747" customWidth="1"/>
    <col min="4" max="5" width="14.7109375" style="747" customWidth="1"/>
    <col min="6" max="6" width="15.28515625" style="749" customWidth="1"/>
    <col min="7" max="7" width="13.28515625" style="747" customWidth="1"/>
    <col min="8" max="8" width="15.42578125" style="747" customWidth="1"/>
    <col min="9" max="9" width="11.28515625" style="747" bestFit="1" customWidth="1"/>
    <col min="10" max="10" width="12.7109375" style="747" customWidth="1"/>
    <col min="11" max="11" width="17.140625" style="747" customWidth="1"/>
    <col min="12" max="16384" width="9.140625" style="747"/>
  </cols>
  <sheetData>
    <row r="1" spans="1:11" ht="26.25" customHeight="1">
      <c r="A1" s="1685" t="s">
        <v>1230</v>
      </c>
      <c r="B1" s="1685"/>
      <c r="C1" s="1685"/>
      <c r="D1" s="1685"/>
      <c r="E1" s="1685"/>
      <c r="F1" s="1685"/>
      <c r="G1" s="1685"/>
      <c r="H1" s="1685"/>
    </row>
    <row r="2" spans="1:11">
      <c r="A2" s="1686" t="s">
        <v>672</v>
      </c>
      <c r="B2" s="1686"/>
      <c r="C2" s="1686"/>
      <c r="D2" s="1686"/>
      <c r="E2" s="1686"/>
      <c r="F2" s="1686"/>
      <c r="G2" s="1686"/>
      <c r="H2" s="1686"/>
    </row>
    <row r="3" spans="1:11" ht="16.5" thickBot="1">
      <c r="A3" s="748" t="s">
        <v>1080</v>
      </c>
      <c r="B3" s="898"/>
      <c r="C3" s="898"/>
      <c r="D3" s="898"/>
      <c r="E3" s="898"/>
      <c r="F3" s="898"/>
      <c r="G3" s="899"/>
    </row>
    <row r="4" spans="1:11" s="750" customFormat="1" ht="94.5">
      <c r="A4" s="1099" t="s">
        <v>256</v>
      </c>
      <c r="B4" s="1100" t="s">
        <v>247</v>
      </c>
      <c r="C4" s="1100" t="s">
        <v>531</v>
      </c>
      <c r="D4" s="1100" t="s">
        <v>523</v>
      </c>
      <c r="E4" s="1100" t="s">
        <v>524</v>
      </c>
      <c r="F4" s="1100" t="s">
        <v>525</v>
      </c>
      <c r="G4" s="1101" t="s">
        <v>1160</v>
      </c>
    </row>
    <row r="5" spans="1:11" s="751" customFormat="1">
      <c r="A5" s="1241"/>
      <c r="B5" s="1359">
        <v>1</v>
      </c>
      <c r="C5" s="1359">
        <v>2</v>
      </c>
      <c r="D5" s="1359">
        <v>3</v>
      </c>
      <c r="E5" s="1359">
        <v>4</v>
      </c>
      <c r="F5" s="1359">
        <v>5</v>
      </c>
      <c r="G5" s="1242">
        <v>6</v>
      </c>
      <c r="H5" s="1243"/>
    </row>
    <row r="6" spans="1:11">
      <c r="A6" s="1244">
        <v>1</v>
      </c>
      <c r="B6" s="1245" t="s">
        <v>528</v>
      </c>
      <c r="C6" s="1246">
        <v>20758</v>
      </c>
      <c r="D6" s="1247">
        <v>211.55</v>
      </c>
      <c r="E6" s="1248">
        <f>C6*D6</f>
        <v>4391354.9000000004</v>
      </c>
      <c r="F6" s="1249">
        <v>1</v>
      </c>
      <c r="G6" s="1250">
        <f>E6*F6/1000</f>
        <v>4391.3549000000003</v>
      </c>
      <c r="H6" s="1251"/>
      <c r="I6" s="747">
        <v>2954.6</v>
      </c>
      <c r="J6" s="747" t="s">
        <v>1510</v>
      </c>
    </row>
    <row r="7" spans="1:11">
      <c r="A7" s="1244">
        <v>2</v>
      </c>
      <c r="B7" s="1245" t="s">
        <v>529</v>
      </c>
      <c r="C7" s="1246">
        <v>20758</v>
      </c>
      <c r="D7" s="1247">
        <v>219.83</v>
      </c>
      <c r="E7" s="1248">
        <f>C7*D7</f>
        <v>4563231.1400000006</v>
      </c>
      <c r="F7" s="1249">
        <v>1</v>
      </c>
      <c r="G7" s="1250">
        <f>E7*F7/1000</f>
        <v>4563.2311400000008</v>
      </c>
      <c r="H7" s="1251"/>
    </row>
    <row r="8" spans="1:11" ht="16.5" thickBot="1">
      <c r="A8" s="1690" t="s">
        <v>530</v>
      </c>
      <c r="B8" s="1691"/>
      <c r="C8" s="1691"/>
      <c r="D8" s="1691"/>
      <c r="E8" s="1692"/>
      <c r="F8" s="1252"/>
      <c r="G8" s="1367">
        <f>SUM(G6:G7)</f>
        <v>8954.586040000002</v>
      </c>
      <c r="H8" s="1253"/>
    </row>
    <row r="9" spans="1:11">
      <c r="A9" s="1254"/>
      <c r="B9" s="1255"/>
      <c r="C9" s="1254"/>
      <c r="D9" s="1254"/>
      <c r="E9" s="1254"/>
      <c r="F9" s="1256"/>
      <c r="G9" s="1257"/>
      <c r="H9" s="1253"/>
    </row>
    <row r="10" spans="1:11" ht="16.5" thickBot="1">
      <c r="A10" s="1258" t="s">
        <v>22</v>
      </c>
      <c r="B10" s="1258"/>
      <c r="C10" s="1258"/>
      <c r="D10" s="1258"/>
      <c r="E10" s="1258"/>
      <c r="F10" s="1259"/>
      <c r="G10" s="1260"/>
      <c r="H10" s="1251"/>
    </row>
    <row r="11" spans="1:11" s="751" customFormat="1" ht="154.5" customHeight="1">
      <c r="A11" s="1693" t="s">
        <v>256</v>
      </c>
      <c r="B11" s="1358" t="s">
        <v>536</v>
      </c>
      <c r="C11" s="1358" t="s">
        <v>532</v>
      </c>
      <c r="D11" s="1358" t="s">
        <v>533</v>
      </c>
      <c r="E11" s="1358" t="s">
        <v>525</v>
      </c>
      <c r="F11" s="1695" t="s">
        <v>1161</v>
      </c>
      <c r="G11" s="1696"/>
      <c r="H11" s="1243"/>
      <c r="I11" s="747"/>
    </row>
    <row r="12" spans="1:11" ht="12.75" customHeight="1">
      <c r="A12" s="1694"/>
      <c r="B12" s="1359">
        <v>1</v>
      </c>
      <c r="C12" s="1359">
        <v>2</v>
      </c>
      <c r="D12" s="1359">
        <v>3</v>
      </c>
      <c r="E12" s="1359">
        <v>4</v>
      </c>
      <c r="F12" s="1697">
        <v>5</v>
      </c>
      <c r="G12" s="1711"/>
      <c r="H12" s="1251"/>
    </row>
    <row r="13" spans="1:11">
      <c r="A13" s="1694"/>
      <c r="B13" s="1360" t="s">
        <v>534</v>
      </c>
      <c r="C13" s="1360" t="s">
        <v>471</v>
      </c>
      <c r="D13" s="1360" t="s">
        <v>471</v>
      </c>
      <c r="E13" s="1360" t="s">
        <v>526</v>
      </c>
      <c r="F13" s="1699" t="s">
        <v>527</v>
      </c>
      <c r="G13" s="1712"/>
      <c r="H13" s="1251"/>
      <c r="I13" s="1189"/>
    </row>
    <row r="14" spans="1:11">
      <c r="A14" s="1357">
        <v>1</v>
      </c>
      <c r="B14" s="1261">
        <v>240000</v>
      </c>
      <c r="C14" s="1362">
        <v>73.66</v>
      </c>
      <c r="D14" s="1248">
        <f>B14*C14*8.629231152</f>
        <v>152550999.99751678</v>
      </c>
      <c r="E14" s="1249">
        <v>1</v>
      </c>
      <c r="F14" s="1701">
        <f>D14*E14/1000</f>
        <v>152550.99999751677</v>
      </c>
      <c r="G14" s="1714"/>
      <c r="H14" s="1251"/>
      <c r="I14" s="1189"/>
      <c r="K14" s="747">
        <v>73</v>
      </c>
    </row>
    <row r="15" spans="1:11" ht="16.5" thickBot="1">
      <c r="A15" s="1262"/>
      <c r="B15" s="1703" t="s">
        <v>261</v>
      </c>
      <c r="C15" s="1704"/>
      <c r="D15" s="1704"/>
      <c r="E15" s="1704"/>
      <c r="F15" s="897"/>
      <c r="G15" s="1363">
        <f>F14</f>
        <v>152550.99999751677</v>
      </c>
      <c r="H15" s="1251"/>
      <c r="I15" s="1189"/>
      <c r="J15" s="747">
        <v>152551</v>
      </c>
      <c r="K15" s="747">
        <f>J15/240/C14</f>
        <v>8.6292311521404663</v>
      </c>
    </row>
    <row r="16" spans="1:11">
      <c r="A16" s="1251"/>
      <c r="B16" s="1255" t="s">
        <v>1513</v>
      </c>
      <c r="C16" s="1255"/>
      <c r="D16" s="1255"/>
      <c r="E16" s="1255"/>
      <c r="F16" s="895"/>
      <c r="G16" s="896"/>
      <c r="H16" s="1251"/>
    </row>
    <row r="17" spans="1:11">
      <c r="A17" s="1251"/>
      <c r="B17" s="1255"/>
      <c r="C17" s="1255"/>
      <c r="D17" s="1255"/>
      <c r="E17" s="1255"/>
      <c r="F17" s="895"/>
      <c r="G17" s="896"/>
      <c r="H17" s="1251"/>
      <c r="I17" s="1189"/>
    </row>
    <row r="18" spans="1:11" ht="16.5" thickBot="1">
      <c r="A18" s="1258" t="s">
        <v>23</v>
      </c>
      <c r="B18" s="1251"/>
      <c r="C18" s="1251"/>
      <c r="D18" s="1251"/>
      <c r="E18" s="1251"/>
      <c r="F18" s="1251"/>
      <c r="G18" s="1251"/>
      <c r="H18" s="1260"/>
    </row>
    <row r="19" spans="1:11" s="750" customFormat="1" ht="78.75" customHeight="1">
      <c r="A19" s="1356" t="s">
        <v>535</v>
      </c>
      <c r="B19" s="1355" t="s">
        <v>247</v>
      </c>
      <c r="C19" s="1355" t="s">
        <v>262</v>
      </c>
      <c r="D19" s="1355" t="s">
        <v>257</v>
      </c>
      <c r="E19" s="1355" t="s">
        <v>258</v>
      </c>
      <c r="F19" s="1355" t="s">
        <v>259</v>
      </c>
      <c r="G19" s="1715" t="s">
        <v>260</v>
      </c>
      <c r="H19" s="1716"/>
    </row>
    <row r="20" spans="1:11" s="752" customFormat="1" ht="32.25" customHeight="1">
      <c r="A20" s="1263">
        <v>1</v>
      </c>
      <c r="B20" s="1264" t="s">
        <v>23</v>
      </c>
      <c r="C20" s="1364">
        <v>611.71</v>
      </c>
      <c r="D20" s="1265">
        <v>5571.73</v>
      </c>
      <c r="E20" s="1266">
        <v>1</v>
      </c>
      <c r="F20" s="1265">
        <f>C20*D20</f>
        <v>3408282.9583000001</v>
      </c>
      <c r="G20" s="1717">
        <f>F20*7/1000</f>
        <v>23857.9807081</v>
      </c>
      <c r="H20" s="1718"/>
      <c r="K20" s="752">
        <v>100030</v>
      </c>
    </row>
    <row r="21" spans="1:11" s="728" customFormat="1" ht="24" customHeight="1">
      <c r="A21" s="1267"/>
      <c r="B21" s="1705" t="s">
        <v>261</v>
      </c>
      <c r="C21" s="1706"/>
      <c r="D21" s="1706"/>
      <c r="E21" s="1706"/>
      <c r="F21" s="1706"/>
      <c r="G21" s="753"/>
      <c r="H21" s="1365">
        <f>G20</f>
        <v>23857.9807081</v>
      </c>
      <c r="I21" s="948"/>
    </row>
    <row r="22" spans="1:11" s="728" customFormat="1" ht="24" customHeight="1" thickBot="1">
      <c r="A22" s="1268"/>
      <c r="B22" s="1707" t="s">
        <v>1079</v>
      </c>
      <c r="C22" s="1708"/>
      <c r="D22" s="1708"/>
      <c r="E22" s="1708"/>
      <c r="F22" s="1708"/>
      <c r="G22" s="1269"/>
      <c r="H22" s="1366">
        <f>G8+G15+H21</f>
        <v>185363.56674561676</v>
      </c>
      <c r="I22" s="1102"/>
      <c r="J22" s="1102">
        <v>185363.56674561676</v>
      </c>
    </row>
    <row r="23" spans="1:11" s="728" customFormat="1" ht="24" customHeight="1">
      <c r="A23" s="1270"/>
      <c r="B23" s="1255" t="s">
        <v>1511</v>
      </c>
      <c r="C23" s="1271"/>
      <c r="D23" s="1271"/>
      <c r="E23" s="1271"/>
      <c r="F23" s="1271"/>
      <c r="G23" s="890"/>
      <c r="H23" s="891"/>
      <c r="I23" s="948"/>
      <c r="J23" s="1297"/>
      <c r="K23" s="948"/>
    </row>
    <row r="24" spans="1:11">
      <c r="A24" s="1272"/>
      <c r="B24" s="1272"/>
      <c r="C24" s="1272"/>
      <c r="D24" s="1272"/>
      <c r="E24" s="1272"/>
      <c r="F24" s="1272"/>
      <c r="G24" s="1251"/>
      <c r="H24" s="1251"/>
    </row>
    <row r="25" spans="1:11" ht="18.75">
      <c r="A25" s="1273" t="s">
        <v>640</v>
      </c>
      <c r="B25" s="1273"/>
      <c r="C25" s="1273"/>
      <c r="D25" s="1055"/>
      <c r="E25" s="1273" t="s">
        <v>1167</v>
      </c>
      <c r="F25" s="1273"/>
      <c r="G25" s="1274"/>
      <c r="H25" s="1251"/>
    </row>
    <row r="26" spans="1:11" ht="18.75">
      <c r="A26" s="1273"/>
      <c r="B26" s="1273"/>
      <c r="C26" s="1273"/>
      <c r="D26" s="1055"/>
      <c r="E26" s="1273"/>
      <c r="F26" s="1273"/>
      <c r="G26" s="1274"/>
      <c r="H26" s="1251"/>
    </row>
    <row r="27" spans="1:11" ht="18.75">
      <c r="A27" s="1273"/>
      <c r="B27" s="1273"/>
      <c r="C27" s="1273"/>
      <c r="D27" s="1055"/>
      <c r="E27" s="1273"/>
      <c r="F27" s="1273"/>
      <c r="G27" s="1274"/>
      <c r="H27" s="1251"/>
    </row>
    <row r="28" spans="1:11" ht="18.75">
      <c r="A28" s="1273" t="s">
        <v>1166</v>
      </c>
      <c r="B28" s="1273"/>
      <c r="C28" s="1273"/>
      <c r="D28" s="1055"/>
      <c r="E28" s="1713" t="s">
        <v>1168</v>
      </c>
      <c r="F28" s="1713"/>
      <c r="G28" s="1274"/>
      <c r="H28" s="1251"/>
    </row>
    <row r="29" spans="1:11" ht="18.75">
      <c r="A29" s="1251"/>
      <c r="B29" s="1273"/>
      <c r="C29" s="1273"/>
      <c r="D29" s="1055"/>
      <c r="E29" s="654"/>
      <c r="F29" s="1273"/>
      <c r="G29" s="1274"/>
      <c r="H29" s="1251"/>
    </row>
    <row r="30" spans="1:11" ht="18.75">
      <c r="B30" s="673"/>
      <c r="C30" s="673"/>
      <c r="D30" s="743"/>
      <c r="E30" s="653"/>
      <c r="F30" s="673"/>
      <c r="G30" s="741"/>
    </row>
    <row r="31" spans="1:11" ht="18.75">
      <c r="B31" s="674"/>
      <c r="C31" s="673"/>
      <c r="D31" s="742"/>
      <c r="E31" s="653"/>
      <c r="F31" s="674"/>
      <c r="G31" s="741"/>
    </row>
    <row r="32" spans="1:11">
      <c r="B32" s="739"/>
      <c r="C32" s="740"/>
      <c r="D32" s="739"/>
      <c r="E32" s="739"/>
      <c r="F32" s="741"/>
      <c r="G32" s="741"/>
    </row>
  </sheetData>
  <mergeCells count="14">
    <mergeCell ref="E28:F28"/>
    <mergeCell ref="F14:G14"/>
    <mergeCell ref="B15:E15"/>
    <mergeCell ref="G19:H19"/>
    <mergeCell ref="G20:H20"/>
    <mergeCell ref="B21:F21"/>
    <mergeCell ref="B22:F22"/>
    <mergeCell ref="A1:H1"/>
    <mergeCell ref="A2:H2"/>
    <mergeCell ref="A8:E8"/>
    <mergeCell ref="A11:A13"/>
    <mergeCell ref="F11:G11"/>
    <mergeCell ref="F12:G12"/>
    <mergeCell ref="F13:G13"/>
  </mergeCells>
  <pageMargins left="0.7" right="0.7" top="0.75" bottom="0.75" header="0.3" footer="0.3"/>
  <pageSetup paperSize="9" scale="66" orientation="portrait" verticalDpi="300" r:id="rId1"/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5"/>
  <sheetViews>
    <sheetView view="pageBreakPreview" topLeftCell="A10" zoomScaleNormal="100" zoomScaleSheetLayoutView="100" workbookViewId="0">
      <selection activeCell="B18" sqref="B18"/>
    </sheetView>
  </sheetViews>
  <sheetFormatPr defaultColWidth="9.140625" defaultRowHeight="15.75"/>
  <cols>
    <col min="1" max="1" width="5.7109375" style="714" customWidth="1"/>
    <col min="2" max="2" width="37.85546875" style="715" customWidth="1"/>
    <col min="3" max="3" width="17.140625" style="714" customWidth="1"/>
    <col min="4" max="4" width="16.85546875" style="714" customWidth="1"/>
    <col min="5" max="5" width="27" style="714" customWidth="1"/>
    <col min="6" max="6" width="25.7109375" style="572" customWidth="1"/>
    <col min="7" max="7" width="13" style="523" customWidth="1"/>
    <col min="8" max="8" width="4.42578125" style="523" bestFit="1" customWidth="1"/>
    <col min="9" max="9" width="11.42578125" style="523" bestFit="1" customWidth="1"/>
    <col min="10" max="18" width="12.7109375" style="523" bestFit="1" customWidth="1"/>
    <col min="19" max="19" width="13.85546875" style="523" bestFit="1" customWidth="1"/>
    <col min="20" max="16384" width="9.140625" style="523"/>
  </cols>
  <sheetData>
    <row r="1" spans="1:21" ht="27.75" customHeight="1">
      <c r="A1" s="1722" t="s">
        <v>1284</v>
      </c>
      <c r="B1" s="1722"/>
      <c r="C1" s="1722"/>
      <c r="D1" s="1722"/>
      <c r="E1" s="1722"/>
      <c r="F1" s="1722"/>
    </row>
    <row r="2" spans="1:21">
      <c r="A2" s="1723" t="s">
        <v>672</v>
      </c>
      <c r="B2" s="1723"/>
      <c r="C2" s="1723"/>
      <c r="D2" s="1723"/>
      <c r="E2" s="1723"/>
      <c r="F2" s="1723"/>
      <c r="G2" s="587"/>
      <c r="H2" s="587"/>
      <c r="I2" s="716"/>
    </row>
    <row r="3" spans="1:21" ht="18.75">
      <c r="A3" s="572"/>
      <c r="B3" s="1275"/>
      <c r="C3" s="572"/>
      <c r="D3" s="572"/>
      <c r="E3" s="572"/>
    </row>
    <row r="4" spans="1:21" s="717" customFormat="1" ht="31.5">
      <c r="A4" s="1276" t="s">
        <v>256</v>
      </c>
      <c r="B4" s="1276" t="s">
        <v>264</v>
      </c>
      <c r="C4" s="1277" t="s">
        <v>265</v>
      </c>
      <c r="D4" s="1276" t="s">
        <v>266</v>
      </c>
      <c r="E4" s="1276" t="s">
        <v>267</v>
      </c>
      <c r="F4" s="1276" t="s">
        <v>268</v>
      </c>
    </row>
    <row r="5" spans="1:21" s="717" customFormat="1" ht="57" customHeight="1">
      <c r="A5" s="1107">
        <v>1</v>
      </c>
      <c r="B5" s="1278" t="s">
        <v>1502</v>
      </c>
      <c r="C5" s="1112" t="s">
        <v>269</v>
      </c>
      <c r="D5" s="1113">
        <v>1</v>
      </c>
      <c r="E5" s="1284">
        <v>7788000</v>
      </c>
      <c r="F5" s="754">
        <f>D5*E5/1000</f>
        <v>7788</v>
      </c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  <c r="U5" s="718"/>
    </row>
    <row r="6" spans="1:21" ht="54" customHeight="1">
      <c r="A6" s="1724">
        <v>2</v>
      </c>
      <c r="B6" s="1104" t="s">
        <v>1508</v>
      </c>
      <c r="C6" s="1105" t="s">
        <v>1507</v>
      </c>
      <c r="D6" s="1724">
        <v>1</v>
      </c>
      <c r="E6" s="1285">
        <v>20226585.600000001</v>
      </c>
      <c r="F6" s="1726">
        <f>(E6+E7)/1000</f>
        <v>80661.253599999996</v>
      </c>
    </row>
    <row r="7" spans="1:21" s="1106" customFormat="1" ht="60.75" customHeight="1">
      <c r="A7" s="1725"/>
      <c r="B7" s="1104" t="s">
        <v>1506</v>
      </c>
      <c r="C7" s="1105" t="s">
        <v>1507</v>
      </c>
      <c r="D7" s="1725"/>
      <c r="E7" s="1285">
        <v>60434668</v>
      </c>
      <c r="F7" s="1727"/>
    </row>
    <row r="8" spans="1:21" s="1110" customFormat="1" ht="42" customHeight="1">
      <c r="A8" s="1107">
        <v>3</v>
      </c>
      <c r="B8" s="1108" t="s">
        <v>1504</v>
      </c>
      <c r="C8" s="1107" t="s">
        <v>269</v>
      </c>
      <c r="D8" s="1107">
        <v>1</v>
      </c>
      <c r="E8" s="1285">
        <f>26200000/9*12</f>
        <v>34933333.333333328</v>
      </c>
      <c r="F8" s="755">
        <f>E8*D8/1000</f>
        <v>34933.333333333328</v>
      </c>
      <c r="G8" s="1109"/>
      <c r="I8" s="1109"/>
      <c r="J8" s="1109"/>
      <c r="K8" s="1109" t="s">
        <v>1376</v>
      </c>
      <c r="L8" s="1109"/>
      <c r="M8" s="1109"/>
      <c r="N8" s="1109"/>
      <c r="O8" s="1109"/>
      <c r="P8" s="1109"/>
      <c r="Q8" s="1109"/>
      <c r="R8" s="1109"/>
      <c r="S8" s="1109"/>
      <c r="T8" s="1109"/>
      <c r="U8" s="1109"/>
    </row>
    <row r="9" spans="1:21" s="1110" customFormat="1" ht="39" customHeight="1">
      <c r="A9" s="1107">
        <v>4</v>
      </c>
      <c r="B9" s="1111" t="s">
        <v>1503</v>
      </c>
      <c r="C9" s="1112" t="s">
        <v>269</v>
      </c>
      <c r="D9" s="1113">
        <v>1</v>
      </c>
      <c r="E9" s="1284">
        <v>10000000</v>
      </c>
      <c r="F9" s="754">
        <f>E9/1000</f>
        <v>10000</v>
      </c>
      <c r="G9" s="1109"/>
      <c r="I9" s="1109"/>
      <c r="J9" s="1109"/>
      <c r="K9" s="1109"/>
      <c r="L9" s="1109"/>
      <c r="M9" s="1109"/>
      <c r="N9" s="1109"/>
      <c r="O9" s="1109"/>
      <c r="P9" s="1109"/>
      <c r="Q9" s="1109"/>
      <c r="R9" s="1109"/>
      <c r="S9" s="1109"/>
      <c r="T9" s="1109"/>
      <c r="U9" s="1109"/>
    </row>
    <row r="10" spans="1:21" s="1110" customFormat="1" ht="39.75" customHeight="1">
      <c r="A10" s="1107">
        <v>5</v>
      </c>
      <c r="B10" s="1108" t="s">
        <v>1509</v>
      </c>
      <c r="C10" s="1107" t="s">
        <v>269</v>
      </c>
      <c r="D10" s="1114">
        <v>1</v>
      </c>
      <c r="E10" s="1286">
        <v>17895000</v>
      </c>
      <c r="F10" s="754">
        <f>E10/1000</f>
        <v>17895</v>
      </c>
      <c r="G10" s="1109"/>
      <c r="I10" s="1109"/>
      <c r="J10" s="1109"/>
      <c r="K10" s="1109" t="s">
        <v>1377</v>
      </c>
      <c r="L10" s="1109"/>
      <c r="M10" s="1109"/>
      <c r="N10" s="1109"/>
      <c r="O10" s="1109"/>
      <c r="P10" s="1109"/>
      <c r="Q10" s="1109"/>
      <c r="R10" s="1109"/>
      <c r="S10" s="1109"/>
      <c r="T10" s="1109"/>
      <c r="U10" s="1109"/>
    </row>
    <row r="11" spans="1:21" s="1106" customFormat="1" ht="68.25" customHeight="1">
      <c r="A11" s="1115">
        <v>6</v>
      </c>
      <c r="B11" s="1116" t="s">
        <v>1500</v>
      </c>
      <c r="C11" s="1112" t="s">
        <v>269</v>
      </c>
      <c r="D11" s="572">
        <v>1</v>
      </c>
      <c r="E11" s="1284">
        <v>370000</v>
      </c>
      <c r="F11" s="754">
        <f>E11/1000</f>
        <v>370</v>
      </c>
      <c r="O11" s="1117"/>
    </row>
    <row r="12" spans="1:21" s="1106" customFormat="1" ht="52.5" customHeight="1">
      <c r="A12" s="1118" t="s">
        <v>641</v>
      </c>
      <c r="B12" s="1116" t="s">
        <v>1501</v>
      </c>
      <c r="C12" s="1112" t="s">
        <v>269</v>
      </c>
      <c r="D12" s="755">
        <v>1</v>
      </c>
      <c r="E12" s="1285">
        <v>598995</v>
      </c>
      <c r="F12" s="754">
        <f>D12*E12/1000</f>
        <v>598.995</v>
      </c>
    </row>
    <row r="13" spans="1:21" s="717" customFormat="1" ht="48.75" customHeight="1">
      <c r="A13" s="1107">
        <v>8</v>
      </c>
      <c r="B13" s="1116" t="s">
        <v>1505</v>
      </c>
      <c r="C13" s="1112" t="s">
        <v>269</v>
      </c>
      <c r="D13" s="1113">
        <v>1</v>
      </c>
      <c r="E13" s="1284">
        <v>1701900</v>
      </c>
      <c r="F13" s="754">
        <f>E13/1000</f>
        <v>1701.9</v>
      </c>
      <c r="I13" s="718"/>
      <c r="J13" s="718"/>
      <c r="K13" s="718"/>
      <c r="L13" s="718"/>
      <c r="M13" s="718"/>
      <c r="N13" s="718"/>
      <c r="O13" s="718"/>
      <c r="P13" s="718"/>
      <c r="Q13" s="718"/>
      <c r="R13" s="718"/>
      <c r="S13" s="718"/>
      <c r="T13" s="718"/>
      <c r="U13" s="718"/>
    </row>
    <row r="14" spans="1:21" s="717" customFormat="1" ht="48.75" customHeight="1">
      <c r="A14" s="1107">
        <v>9</v>
      </c>
      <c r="B14" s="1116" t="s">
        <v>1522</v>
      </c>
      <c r="C14" s="1112" t="s">
        <v>1519</v>
      </c>
      <c r="D14" s="1113">
        <v>1</v>
      </c>
      <c r="E14" s="1284">
        <v>10000000</v>
      </c>
      <c r="F14" s="754">
        <f>E14/1000</f>
        <v>10000</v>
      </c>
      <c r="I14" s="718"/>
      <c r="J14" s="718"/>
      <c r="K14" s="718"/>
      <c r="L14" s="718"/>
      <c r="M14" s="718"/>
      <c r="N14" s="718"/>
      <c r="O14" s="718"/>
      <c r="P14" s="718"/>
      <c r="Q14" s="718"/>
      <c r="R14" s="718"/>
      <c r="S14" s="718"/>
      <c r="T14" s="718"/>
      <c r="U14" s="718"/>
    </row>
    <row r="15" spans="1:21" s="717" customFormat="1" ht="20.25" customHeight="1">
      <c r="A15" s="1107"/>
      <c r="B15" s="1719" t="s">
        <v>1162</v>
      </c>
      <c r="C15" s="1720"/>
      <c r="D15" s="1720"/>
      <c r="E15" s="1721"/>
      <c r="F15" s="1010">
        <f>SUM(F5:F14)</f>
        <v>163948.4819333333</v>
      </c>
      <c r="G15" s="720"/>
      <c r="H15" s="719"/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8"/>
      <c r="T15" s="718"/>
      <c r="U15" s="718"/>
    </row>
    <row r="16" spans="1:21" s="717" customFormat="1">
      <c r="A16" s="1279"/>
      <c r="B16" s="1255"/>
      <c r="C16" s="1280"/>
      <c r="D16" s="1280"/>
      <c r="E16" s="1280"/>
      <c r="F16" s="1374"/>
      <c r="G16" s="720"/>
      <c r="H16" s="719"/>
      <c r="I16" s="718"/>
      <c r="J16" s="718"/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</row>
    <row r="17" spans="1:21" s="717" customFormat="1">
      <c r="A17" s="1279"/>
      <c r="B17" s="1280"/>
      <c r="C17" s="1280"/>
      <c r="D17" s="1280"/>
      <c r="E17" s="1280"/>
      <c r="F17" s="1374"/>
      <c r="G17" s="1372"/>
      <c r="H17" s="719"/>
      <c r="I17" s="718"/>
      <c r="J17" s="718"/>
      <c r="K17" s="718"/>
      <c r="L17" s="718"/>
      <c r="M17" s="718"/>
      <c r="N17" s="718"/>
      <c r="O17" s="718"/>
      <c r="P17" s="718"/>
      <c r="Q17" s="718"/>
      <c r="R17" s="718"/>
      <c r="S17" s="718"/>
      <c r="T17" s="718"/>
      <c r="U17" s="718"/>
    </row>
    <row r="18" spans="1:21" ht="18.75">
      <c r="A18" s="572"/>
      <c r="B18" s="1273"/>
      <c r="C18" s="1273"/>
      <c r="D18" s="1055"/>
      <c r="E18" s="654"/>
      <c r="F18" s="1345"/>
      <c r="G18" s="741"/>
    </row>
    <row r="19" spans="1:21" s="1298" customFormat="1">
      <c r="A19" s="674" t="s">
        <v>1520</v>
      </c>
      <c r="B19" s="674"/>
      <c r="D19" s="674"/>
      <c r="E19" s="674" t="s">
        <v>1521</v>
      </c>
      <c r="F19" s="1337"/>
    </row>
    <row r="20" spans="1:21" ht="18.75">
      <c r="A20" s="1273"/>
      <c r="B20" s="1273"/>
      <c r="C20" s="1273"/>
      <c r="D20" s="1055"/>
      <c r="E20" s="1273"/>
      <c r="F20" s="1345"/>
      <c r="G20" s="741"/>
    </row>
    <row r="21" spans="1:21" ht="18.75">
      <c r="A21" s="1273"/>
      <c r="B21" s="1273"/>
      <c r="C21" s="1273"/>
      <c r="D21" s="1055"/>
      <c r="E21" s="1273"/>
      <c r="F21" s="1273"/>
      <c r="G21" s="741"/>
    </row>
    <row r="22" spans="1:21" ht="18.75">
      <c r="A22" s="1273" t="s">
        <v>1166</v>
      </c>
      <c r="B22" s="1273"/>
      <c r="C22" s="1273"/>
      <c r="D22" s="1055"/>
      <c r="E22" s="1713" t="s">
        <v>1168</v>
      </c>
      <c r="F22" s="1713"/>
      <c r="G22" s="741"/>
    </row>
    <row r="23" spans="1:21" ht="18.75">
      <c r="A23" s="572"/>
      <c r="B23" s="1281"/>
      <c r="C23" s="1281"/>
      <c r="D23" s="1062"/>
      <c r="E23" s="654"/>
      <c r="F23" s="1281"/>
      <c r="G23" s="741"/>
    </row>
    <row r="24" spans="1:21" ht="18.75">
      <c r="A24" s="572"/>
      <c r="B24" s="1273"/>
      <c r="C24" s="1281"/>
      <c r="D24" s="1055"/>
      <c r="E24" s="654"/>
      <c r="F24" s="1273"/>
      <c r="G24" s="741"/>
    </row>
    <row r="25" spans="1:21">
      <c r="A25" s="572"/>
      <c r="B25" s="1282"/>
      <c r="C25" s="572"/>
      <c r="D25" s="572"/>
      <c r="E25" s="572"/>
    </row>
  </sheetData>
  <mergeCells count="7">
    <mergeCell ref="E22:F22"/>
    <mergeCell ref="B15:E15"/>
    <mergeCell ref="A1:F1"/>
    <mergeCell ref="A2:F2"/>
    <mergeCell ref="A6:A7"/>
    <mergeCell ref="D6:D7"/>
    <mergeCell ref="F6:F7"/>
  </mergeCells>
  <pageMargins left="0.7" right="0.7" top="0.75" bottom="0.75" header="0.3" footer="0.3"/>
  <pageSetup paperSize="9" scale="6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L18"/>
  <sheetViews>
    <sheetView view="pageBreakPreview" topLeftCell="A9" zoomScaleNormal="100" zoomScaleSheetLayoutView="100" workbookViewId="0">
      <selection activeCell="F10" sqref="F10"/>
    </sheetView>
  </sheetViews>
  <sheetFormatPr defaultRowHeight="15"/>
  <cols>
    <col min="1" max="1" width="18.85546875" style="633" customWidth="1"/>
    <col min="2" max="2" width="26.140625" style="633" customWidth="1"/>
    <col min="3" max="3" width="22.85546875" style="633" customWidth="1"/>
    <col min="4" max="4" width="22.7109375" style="633" customWidth="1"/>
    <col min="5" max="5" width="11.28515625" style="633" customWidth="1"/>
    <col min="6" max="16384" width="9.140625" style="633"/>
  </cols>
  <sheetData>
    <row r="2" spans="1:12">
      <c r="B2" s="643" t="s">
        <v>1281</v>
      </c>
    </row>
    <row r="4" spans="1:12">
      <c r="A4" s="633" t="s">
        <v>672</v>
      </c>
    </row>
    <row r="5" spans="1:12" ht="57">
      <c r="A5" s="935" t="s">
        <v>474</v>
      </c>
      <c r="B5" s="935" t="s">
        <v>475</v>
      </c>
      <c r="C5" s="935" t="s">
        <v>626</v>
      </c>
      <c r="D5" s="936" t="s">
        <v>476</v>
      </c>
    </row>
    <row r="6" spans="1:12" s="941" customFormat="1">
      <c r="A6" s="937">
        <v>2025</v>
      </c>
      <c r="B6" s="938">
        <v>1034363</v>
      </c>
      <c r="C6" s="939">
        <v>2.8999999999999998E-3</v>
      </c>
      <c r="D6" s="940">
        <f>B6*C6</f>
        <v>2999.6526999999996</v>
      </c>
      <c r="E6" s="949">
        <f>B6*C6</f>
        <v>2999.6526999999996</v>
      </c>
    </row>
    <row r="7" spans="1:12" hidden="1">
      <c r="A7" s="942">
        <v>2024</v>
      </c>
      <c r="B7" s="943">
        <v>2362580</v>
      </c>
      <c r="C7" s="944">
        <v>1.1999999999999999E-3</v>
      </c>
      <c r="D7" s="945">
        <f>B7*C7</f>
        <v>2835.0959999999995</v>
      </c>
    </row>
    <row r="8" spans="1:12" hidden="1">
      <c r="A8" s="942">
        <v>2025</v>
      </c>
      <c r="B8" s="943">
        <v>2747988</v>
      </c>
      <c r="C8" s="944">
        <v>1.1999999999999999E-3</v>
      </c>
      <c r="D8" s="945">
        <f>B8*C8</f>
        <v>3297.5855999999999</v>
      </c>
    </row>
    <row r="9" spans="1:12">
      <c r="E9" s="633">
        <v>3000</v>
      </c>
    </row>
    <row r="10" spans="1:12" ht="156" customHeight="1">
      <c r="A10" s="1728" t="s">
        <v>1165</v>
      </c>
      <c r="B10" s="1728"/>
      <c r="C10" s="1728"/>
      <c r="D10" s="1728"/>
      <c r="H10" s="633" t="s">
        <v>1378</v>
      </c>
    </row>
    <row r="11" spans="1:12" ht="60" customHeight="1">
      <c r="A11" s="680"/>
      <c r="B11" s="680"/>
      <c r="C11" s="680"/>
      <c r="D11" s="680"/>
    </row>
    <row r="12" spans="1:12" ht="18.75">
      <c r="A12" s="674" t="s">
        <v>640</v>
      </c>
      <c r="B12" s="674"/>
      <c r="C12" s="674" t="s">
        <v>1167</v>
      </c>
      <c r="D12" s="674"/>
      <c r="E12" s="713"/>
      <c r="F12" s="713"/>
      <c r="G12" s="713"/>
      <c r="H12" s="713"/>
      <c r="I12" s="713"/>
      <c r="J12" s="713"/>
      <c r="K12" s="713"/>
      <c r="L12" s="713"/>
    </row>
    <row r="13" spans="1:12" ht="15" customHeight="1">
      <c r="A13" s="674"/>
      <c r="B13" s="674"/>
      <c r="C13" s="674"/>
      <c r="D13" s="674"/>
      <c r="E13" s="742"/>
      <c r="F13" s="742"/>
      <c r="G13" s="742"/>
      <c r="H13" s="742"/>
      <c r="I13" s="742"/>
      <c r="J13" s="742"/>
      <c r="K13" s="742"/>
      <c r="L13" s="742"/>
    </row>
    <row r="14" spans="1:12" ht="18.75">
      <c r="A14" s="674"/>
      <c r="B14" s="674"/>
      <c r="C14" s="674"/>
      <c r="D14" s="674"/>
      <c r="E14" s="742"/>
      <c r="F14" s="742"/>
      <c r="G14" s="742"/>
      <c r="H14" s="742"/>
      <c r="I14" s="742"/>
      <c r="J14" s="742"/>
      <c r="K14" s="742"/>
      <c r="L14" s="742"/>
    </row>
    <row r="15" spans="1:12" ht="18.75">
      <c r="A15" s="674" t="s">
        <v>1166</v>
      </c>
      <c r="B15" s="674"/>
      <c r="C15" s="1599" t="s">
        <v>1168</v>
      </c>
      <c r="D15" s="1599"/>
      <c r="E15" s="742"/>
      <c r="F15" s="742"/>
      <c r="G15" s="742"/>
      <c r="H15" s="742"/>
      <c r="I15" s="742"/>
      <c r="J15" s="742"/>
      <c r="K15" s="742"/>
      <c r="L15" s="742"/>
    </row>
    <row r="16" spans="1:12" ht="15" customHeight="1">
      <c r="A16" s="946"/>
      <c r="B16" s="946"/>
      <c r="C16" s="742"/>
      <c r="D16" s="946"/>
      <c r="E16" s="742"/>
      <c r="F16" s="742"/>
      <c r="G16" s="742"/>
      <c r="H16" s="742"/>
      <c r="I16" s="742"/>
      <c r="J16" s="742"/>
      <c r="K16" s="742"/>
      <c r="L16" s="742"/>
    </row>
    <row r="17" spans="1:12" ht="18.75">
      <c r="A17" s="947"/>
      <c r="B17" s="947"/>
      <c r="C17" s="743"/>
      <c r="D17" s="947"/>
      <c r="E17" s="742"/>
      <c r="F17" s="742"/>
      <c r="G17" s="742"/>
      <c r="H17" s="742"/>
      <c r="I17" s="742"/>
      <c r="J17" s="742"/>
      <c r="K17" s="742"/>
      <c r="L17" s="742"/>
    </row>
    <row r="18" spans="1:12" ht="18.75">
      <c r="A18" s="946"/>
      <c r="B18" s="947"/>
      <c r="C18" s="742"/>
      <c r="D18" s="946"/>
      <c r="E18" s="742"/>
      <c r="F18" s="742"/>
      <c r="G18" s="742"/>
      <c r="H18" s="742"/>
      <c r="I18" s="742"/>
      <c r="J18" s="742"/>
      <c r="K18" s="742"/>
      <c r="L18" s="742"/>
    </row>
  </sheetData>
  <mergeCells count="2">
    <mergeCell ref="A10:D10"/>
    <mergeCell ref="C15:D15"/>
  </mergeCells>
  <pageMargins left="0.7" right="0.7" top="0.75" bottom="0.75" header="0.3" footer="0.3"/>
  <pageSetup paperSize="9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136"/>
  <sheetViews>
    <sheetView view="pageBreakPreview" topLeftCell="A115" zoomScale="13" zoomScaleNormal="57" zoomScaleSheetLayoutView="13" workbookViewId="0">
      <selection activeCell="Q38" sqref="Q38:Q39"/>
    </sheetView>
  </sheetViews>
  <sheetFormatPr defaultColWidth="9.140625" defaultRowHeight="15"/>
  <cols>
    <col min="1" max="1" width="19.7109375" customWidth="1"/>
    <col min="2" max="2" width="22.85546875" customWidth="1"/>
    <col min="3" max="3" width="72.5703125" customWidth="1"/>
    <col min="4" max="4" width="46.5703125" customWidth="1"/>
    <col min="5" max="5" width="90.140625" customWidth="1"/>
    <col min="6" max="6" width="17.140625" customWidth="1"/>
    <col min="7" max="7" width="16.5703125" style="878" customWidth="1"/>
    <col min="8" max="8" width="16.5703125" customWidth="1"/>
    <col min="9" max="9" width="35.5703125" customWidth="1"/>
    <col min="10" max="10" width="56.140625" customWidth="1"/>
    <col min="11" max="11" width="39.28515625" customWidth="1"/>
    <col min="12" max="12" width="58.7109375" customWidth="1"/>
    <col min="13" max="13" width="33.28515625" customWidth="1"/>
    <col min="14" max="14" width="54.140625" customWidth="1"/>
    <col min="15" max="15" width="36.85546875" customWidth="1"/>
    <col min="16" max="16" width="51.140625" customWidth="1"/>
    <col min="17" max="17" width="42.5703125" customWidth="1"/>
    <col min="18" max="18" width="56.85546875" customWidth="1"/>
    <col min="19" max="19" width="39.42578125" customWidth="1"/>
    <col min="20" max="20" width="66" customWidth="1"/>
    <col min="21" max="21" width="41.140625" customWidth="1"/>
    <col min="22" max="22" width="60.85546875" customWidth="1"/>
    <col min="23" max="23" width="36.140625" customWidth="1"/>
    <col min="24" max="24" width="53" customWidth="1"/>
    <col min="25" max="25" width="41.42578125" customWidth="1"/>
    <col min="26" max="26" width="61.28515625" customWidth="1"/>
    <col min="27" max="27" width="58.7109375" customWidth="1"/>
    <col min="28" max="28" width="46" hidden="1" customWidth="1"/>
    <col min="29" max="29" width="58.42578125" style="834" customWidth="1"/>
    <col min="30" max="30" width="66.42578125" customWidth="1"/>
    <col min="31" max="31" width="76.85546875" customWidth="1"/>
    <col min="39" max="39" width="79.42578125" customWidth="1"/>
  </cols>
  <sheetData>
    <row r="1" spans="1:33" s="756" customFormat="1" ht="76.5">
      <c r="A1" s="1629"/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  <c r="N1" s="1629"/>
      <c r="O1" s="1629"/>
      <c r="P1" s="1629"/>
      <c r="Q1" s="1629"/>
      <c r="R1" s="1629"/>
      <c r="S1" s="1629"/>
      <c r="T1" s="1629"/>
      <c r="U1" s="1629"/>
      <c r="V1" s="1629"/>
      <c r="W1" s="1629"/>
      <c r="X1" s="1629"/>
      <c r="Y1" s="1629"/>
      <c r="Z1" s="1629"/>
      <c r="AA1" s="1629"/>
      <c r="AB1" s="1629"/>
      <c r="AC1" s="1629"/>
      <c r="AD1" s="1629"/>
      <c r="AE1" s="1629"/>
    </row>
    <row r="2" spans="1:33" s="757" customFormat="1" ht="76.5" customHeight="1">
      <c r="A2" s="1630" t="s">
        <v>2</v>
      </c>
      <c r="B2" s="1630" t="s">
        <v>2</v>
      </c>
      <c r="C2" s="1729" t="s">
        <v>878</v>
      </c>
      <c r="D2" s="1729" t="s">
        <v>879</v>
      </c>
      <c r="E2" s="1730" t="s">
        <v>880</v>
      </c>
      <c r="F2" s="1731" t="s">
        <v>881</v>
      </c>
      <c r="G2" s="1732" t="s">
        <v>882</v>
      </c>
      <c r="H2" s="867"/>
      <c r="I2" s="1729" t="s">
        <v>883</v>
      </c>
      <c r="J2" s="1729"/>
      <c r="K2" s="1729"/>
      <c r="L2" s="1729"/>
      <c r="M2" s="1729"/>
      <c r="N2" s="1729"/>
      <c r="O2" s="1729"/>
      <c r="P2" s="1729"/>
      <c r="Q2" s="1729"/>
      <c r="R2" s="1731" t="s">
        <v>884</v>
      </c>
      <c r="S2" s="1729" t="s">
        <v>885</v>
      </c>
      <c r="T2" s="1729"/>
      <c r="U2" s="1729"/>
      <c r="V2" s="1729"/>
      <c r="W2" s="1729"/>
      <c r="X2" s="1729"/>
      <c r="Y2" s="1729"/>
      <c r="Z2" s="1729"/>
      <c r="AA2" s="1729"/>
      <c r="AB2" s="1729"/>
      <c r="AC2" s="1729"/>
      <c r="AD2" s="1729"/>
      <c r="AE2" s="1733" t="s">
        <v>886</v>
      </c>
      <c r="AF2" s="815"/>
    </row>
    <row r="3" spans="1:33" s="757" customFormat="1" ht="207" customHeight="1">
      <c r="A3" s="1630"/>
      <c r="B3" s="1630"/>
      <c r="C3" s="1729"/>
      <c r="D3" s="1729"/>
      <c r="E3" s="1730"/>
      <c r="F3" s="1731"/>
      <c r="G3" s="1732"/>
      <c r="H3" s="1731" t="s">
        <v>887</v>
      </c>
      <c r="I3" s="1729" t="s">
        <v>888</v>
      </c>
      <c r="J3" s="1729"/>
      <c r="K3" s="1729" t="s">
        <v>889</v>
      </c>
      <c r="L3" s="1729"/>
      <c r="M3" s="1729" t="s">
        <v>890</v>
      </c>
      <c r="N3" s="1729"/>
      <c r="O3" s="1729" t="s">
        <v>891</v>
      </c>
      <c r="P3" s="1729"/>
      <c r="Q3" s="866" t="s">
        <v>892</v>
      </c>
      <c r="R3" s="1731"/>
      <c r="S3" s="1729" t="s">
        <v>888</v>
      </c>
      <c r="T3" s="1729"/>
      <c r="U3" s="1729" t="s">
        <v>893</v>
      </c>
      <c r="V3" s="1729"/>
      <c r="W3" s="1729" t="s">
        <v>894</v>
      </c>
      <c r="X3" s="1729"/>
      <c r="Y3" s="1729" t="s">
        <v>891</v>
      </c>
      <c r="Z3" s="1729"/>
      <c r="AA3" s="1729" t="s">
        <v>287</v>
      </c>
      <c r="AB3" s="1729" t="s">
        <v>288</v>
      </c>
      <c r="AC3" s="1740" t="s">
        <v>895</v>
      </c>
      <c r="AD3" s="1729" t="s">
        <v>896</v>
      </c>
      <c r="AE3" s="1733"/>
      <c r="AF3" s="815"/>
    </row>
    <row r="4" spans="1:33" s="758" customFormat="1" ht="276">
      <c r="A4" s="1630"/>
      <c r="B4" s="1630"/>
      <c r="C4" s="1729"/>
      <c r="D4" s="1729"/>
      <c r="E4" s="1730"/>
      <c r="F4" s="1731"/>
      <c r="G4" s="1732"/>
      <c r="H4" s="1731"/>
      <c r="I4" s="866" t="s">
        <v>897</v>
      </c>
      <c r="J4" s="866" t="s">
        <v>898</v>
      </c>
      <c r="K4" s="866" t="s">
        <v>899</v>
      </c>
      <c r="L4" s="866" t="s">
        <v>898</v>
      </c>
      <c r="M4" s="866" t="s">
        <v>899</v>
      </c>
      <c r="N4" s="866" t="s">
        <v>898</v>
      </c>
      <c r="O4" s="866" t="s">
        <v>900</v>
      </c>
      <c r="P4" s="866" t="s">
        <v>898</v>
      </c>
      <c r="Q4" s="866" t="s">
        <v>898</v>
      </c>
      <c r="R4" s="1731"/>
      <c r="S4" s="866" t="s">
        <v>897</v>
      </c>
      <c r="T4" s="866" t="s">
        <v>898</v>
      </c>
      <c r="U4" s="866" t="s">
        <v>899</v>
      </c>
      <c r="V4" s="866" t="s">
        <v>898</v>
      </c>
      <c r="W4" s="866" t="s">
        <v>897</v>
      </c>
      <c r="X4" s="866" t="s">
        <v>898</v>
      </c>
      <c r="Y4" s="866" t="s">
        <v>900</v>
      </c>
      <c r="Z4" s="866" t="s">
        <v>898</v>
      </c>
      <c r="AA4" s="1729"/>
      <c r="AB4" s="1729"/>
      <c r="AC4" s="1740"/>
      <c r="AD4" s="1729"/>
      <c r="AE4" s="1733"/>
      <c r="AF4" s="816"/>
    </row>
    <row r="5" spans="1:33" s="759" customFormat="1" ht="75">
      <c r="A5" s="1741" t="s">
        <v>901</v>
      </c>
      <c r="B5" s="1741"/>
      <c r="C5" s="1741"/>
      <c r="D5" s="1741"/>
      <c r="E5" s="1741"/>
      <c r="F5" s="1741"/>
      <c r="G5" s="1741"/>
      <c r="H5" s="1741"/>
      <c r="I5" s="1741"/>
      <c r="J5" s="1741"/>
      <c r="K5" s="1741"/>
      <c r="L5" s="1741"/>
      <c r="M5" s="1741"/>
      <c r="N5" s="1741"/>
      <c r="O5" s="1741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1"/>
      <c r="AC5" s="1741"/>
      <c r="AD5" s="1741"/>
      <c r="AE5" s="1741"/>
      <c r="AF5" s="817"/>
    </row>
    <row r="6" spans="1:33" s="760" customFormat="1" ht="211.5">
      <c r="A6" s="769">
        <v>1</v>
      </c>
      <c r="B6" s="769">
        <v>1</v>
      </c>
      <c r="C6" s="790" t="s">
        <v>902</v>
      </c>
      <c r="D6" s="761" t="s">
        <v>903</v>
      </c>
      <c r="E6" s="767" t="s">
        <v>904</v>
      </c>
      <c r="F6" s="767">
        <v>6</v>
      </c>
      <c r="G6" s="871"/>
      <c r="H6" s="791">
        <v>1</v>
      </c>
      <c r="I6" s="767"/>
      <c r="J6" s="768"/>
      <c r="K6" s="767"/>
      <c r="L6" s="767"/>
      <c r="M6" s="769"/>
      <c r="N6" s="769"/>
      <c r="O6" s="769"/>
      <c r="P6" s="769"/>
      <c r="Q6" s="769"/>
      <c r="R6" s="769"/>
      <c r="S6" s="761">
        <v>25000</v>
      </c>
      <c r="T6" s="767">
        <f>S6*F6*(G6+H6)</f>
        <v>150000</v>
      </c>
      <c r="U6" s="761">
        <v>15000</v>
      </c>
      <c r="V6" s="767">
        <f>U6*F6*(G6+H6)</f>
        <v>90000</v>
      </c>
      <c r="W6" s="761">
        <v>14000</v>
      </c>
      <c r="X6" s="767">
        <f>W6*(G6+H6)</f>
        <v>14000</v>
      </c>
      <c r="Y6" s="761">
        <v>350000</v>
      </c>
      <c r="Z6" s="767">
        <f>Y6*(G6+H6)</f>
        <v>350000</v>
      </c>
      <c r="AA6" s="761"/>
      <c r="AB6" s="761"/>
      <c r="AC6" s="761"/>
      <c r="AD6" s="762">
        <f>T6+V6+X6+Z6+AA6+AB6+AC6</f>
        <v>604000</v>
      </c>
      <c r="AE6" s="762">
        <f>AD6+R6</f>
        <v>604000</v>
      </c>
    </row>
    <row r="7" spans="1:33" s="760" customFormat="1" ht="409.5">
      <c r="A7" s="769">
        <v>2</v>
      </c>
      <c r="B7" s="769">
        <v>2</v>
      </c>
      <c r="C7" s="792" t="s">
        <v>905</v>
      </c>
      <c r="D7" s="798" t="s">
        <v>906</v>
      </c>
      <c r="E7" s="767" t="s">
        <v>907</v>
      </c>
      <c r="F7" s="767">
        <v>14</v>
      </c>
      <c r="G7" s="871"/>
      <c r="H7" s="791">
        <v>2</v>
      </c>
      <c r="I7" s="767">
        <v>8500</v>
      </c>
      <c r="J7" s="768">
        <f>(G7+H7)*I7*F7</f>
        <v>238000</v>
      </c>
      <c r="K7" s="767">
        <v>6500</v>
      </c>
      <c r="L7" s="767">
        <f>K7*F7*G7</f>
        <v>0</v>
      </c>
      <c r="M7" s="769">
        <f>3605*2</f>
        <v>7210</v>
      </c>
      <c r="N7" s="769">
        <f>M7*H7*F7</f>
        <v>201880</v>
      </c>
      <c r="O7" s="769">
        <v>10000</v>
      </c>
      <c r="P7" s="129">
        <f>O7*H7*2</f>
        <v>40000</v>
      </c>
      <c r="Q7" s="769"/>
      <c r="R7" s="129">
        <f>SUM(J7+L7+N7+P7)+Q7</f>
        <v>479880</v>
      </c>
      <c r="S7" s="761"/>
      <c r="T7" s="767"/>
      <c r="U7" s="761"/>
      <c r="V7" s="767"/>
      <c r="W7" s="761"/>
      <c r="X7" s="767"/>
      <c r="Y7" s="761"/>
      <c r="Z7" s="767"/>
      <c r="AA7" s="761"/>
      <c r="AB7" s="761"/>
      <c r="AC7" s="761"/>
      <c r="AD7" s="762"/>
      <c r="AE7" s="762">
        <f>AD7+R7</f>
        <v>479880</v>
      </c>
    </row>
    <row r="8" spans="1:33" s="760" customFormat="1" ht="409.5">
      <c r="A8" s="769">
        <v>3</v>
      </c>
      <c r="B8" s="769">
        <v>3</v>
      </c>
      <c r="C8" s="792" t="s">
        <v>908</v>
      </c>
      <c r="D8" s="761" t="s">
        <v>906</v>
      </c>
      <c r="E8" s="767" t="s">
        <v>907</v>
      </c>
      <c r="F8" s="791">
        <v>14</v>
      </c>
      <c r="G8" s="871"/>
      <c r="H8" s="791">
        <v>2</v>
      </c>
      <c r="I8" s="767">
        <v>8500</v>
      </c>
      <c r="J8" s="768">
        <f>(G8+H8)*I8*F8</f>
        <v>238000</v>
      </c>
      <c r="K8" s="767">
        <v>6500</v>
      </c>
      <c r="L8" s="767">
        <f>K8*F8*G8</f>
        <v>0</v>
      </c>
      <c r="M8" s="769">
        <f>3605*2</f>
        <v>7210</v>
      </c>
      <c r="N8" s="769">
        <f>M8*H8*F8</f>
        <v>201880</v>
      </c>
      <c r="O8" s="769">
        <v>10000</v>
      </c>
      <c r="P8" s="129">
        <f>O8*H8*2</f>
        <v>40000</v>
      </c>
      <c r="Q8" s="769"/>
      <c r="R8" s="769">
        <f>SUM(J8+L8+N8+P8)+Q8</f>
        <v>479880</v>
      </c>
      <c r="S8" s="769"/>
      <c r="T8" s="769"/>
      <c r="U8" s="769"/>
      <c r="V8" s="769"/>
      <c r="W8" s="769"/>
      <c r="X8" s="769"/>
      <c r="Y8" s="769"/>
      <c r="Z8" s="769"/>
      <c r="AA8" s="769"/>
      <c r="AB8" s="769"/>
      <c r="AC8" s="769"/>
      <c r="AD8" s="762"/>
      <c r="AE8" s="762">
        <f>R8+AD8</f>
        <v>479880</v>
      </c>
    </row>
    <row r="9" spans="1:33" s="760" customFormat="1" ht="138">
      <c r="A9" s="769">
        <v>4</v>
      </c>
      <c r="B9" s="769">
        <v>4</v>
      </c>
      <c r="C9" s="790" t="s">
        <v>909</v>
      </c>
      <c r="D9" s="761" t="s">
        <v>906</v>
      </c>
      <c r="E9" s="767" t="s">
        <v>910</v>
      </c>
      <c r="F9" s="767">
        <v>7</v>
      </c>
      <c r="G9" s="871"/>
      <c r="H9" s="791">
        <v>2</v>
      </c>
      <c r="I9" s="767"/>
      <c r="J9" s="768"/>
      <c r="K9" s="767"/>
      <c r="L9" s="767"/>
      <c r="M9" s="769"/>
      <c r="N9" s="769"/>
      <c r="O9" s="769"/>
      <c r="P9" s="769"/>
      <c r="Q9" s="769"/>
      <c r="R9" s="769"/>
      <c r="S9" s="761">
        <v>43500</v>
      </c>
      <c r="T9" s="767">
        <f>S9*F9*(G9+H9)</f>
        <v>609000</v>
      </c>
      <c r="U9" s="761">
        <v>43500</v>
      </c>
      <c r="V9" s="767">
        <f>U9*F9*(G9+H9)</f>
        <v>609000</v>
      </c>
      <c r="W9" s="761">
        <v>14000</v>
      </c>
      <c r="X9" s="767">
        <f>W9*(G9+H9)</f>
        <v>28000</v>
      </c>
      <c r="Y9" s="761">
        <v>500000</v>
      </c>
      <c r="Z9" s="767">
        <f>Y9*(G9+H9)</f>
        <v>1000000</v>
      </c>
      <c r="AA9" s="761">
        <f>55000*(G9+H9)</f>
        <v>110000</v>
      </c>
      <c r="AB9" s="761"/>
      <c r="AC9" s="761"/>
      <c r="AD9" s="762">
        <f>T9+V9+X9+Z9+AA9+AB9+AC9</f>
        <v>2356000</v>
      </c>
      <c r="AE9" s="762">
        <f>AD9+R9</f>
        <v>2356000</v>
      </c>
    </row>
    <row r="10" spans="1:33" s="760" customFormat="1" ht="409.5">
      <c r="A10" s="769">
        <v>5</v>
      </c>
      <c r="B10" s="769">
        <v>5</v>
      </c>
      <c r="C10" s="792" t="s">
        <v>911</v>
      </c>
      <c r="D10" s="761" t="s">
        <v>912</v>
      </c>
      <c r="E10" s="767" t="s">
        <v>907</v>
      </c>
      <c r="F10" s="791">
        <v>18</v>
      </c>
      <c r="G10" s="871"/>
      <c r="H10" s="791">
        <v>2</v>
      </c>
      <c r="I10" s="767">
        <v>8500</v>
      </c>
      <c r="J10" s="768">
        <f>(G10+H10)*I10*F10</f>
        <v>306000</v>
      </c>
      <c r="K10" s="767">
        <v>6500</v>
      </c>
      <c r="L10" s="767">
        <f>K10*F10*G10</f>
        <v>0</v>
      </c>
      <c r="M10" s="769">
        <f>3605*2</f>
        <v>7210</v>
      </c>
      <c r="N10" s="769">
        <f>M10*H10*F10</f>
        <v>259560</v>
      </c>
      <c r="O10" s="769">
        <v>10000</v>
      </c>
      <c r="P10" s="129">
        <f>O10*H10*2</f>
        <v>40000</v>
      </c>
      <c r="Q10" s="769"/>
      <c r="R10" s="769">
        <f>SUM(J10+L10+N10+P10)+Q10</f>
        <v>605560</v>
      </c>
      <c r="S10" s="769"/>
      <c r="T10" s="769"/>
      <c r="U10" s="769"/>
      <c r="V10" s="769"/>
      <c r="W10" s="769"/>
      <c r="X10" s="769"/>
      <c r="Y10" s="769"/>
      <c r="Z10" s="769"/>
      <c r="AA10" s="769"/>
      <c r="AB10" s="769"/>
      <c r="AC10" s="769"/>
      <c r="AD10" s="762"/>
      <c r="AE10" s="762">
        <f>R10+AD10</f>
        <v>605560</v>
      </c>
    </row>
    <row r="11" spans="1:33" s="760" customFormat="1" ht="211.5">
      <c r="A11" s="769">
        <v>6</v>
      </c>
      <c r="B11" s="769">
        <v>6</v>
      </c>
      <c r="C11" s="790" t="s">
        <v>913</v>
      </c>
      <c r="D11" s="761" t="s">
        <v>912</v>
      </c>
      <c r="E11" s="767" t="s">
        <v>910</v>
      </c>
      <c r="F11" s="767">
        <v>6</v>
      </c>
      <c r="G11" s="871"/>
      <c r="H11" s="791">
        <v>1</v>
      </c>
      <c r="I11" s="767"/>
      <c r="J11" s="768"/>
      <c r="K11" s="767"/>
      <c r="L11" s="767"/>
      <c r="M11" s="769"/>
      <c r="N11" s="769"/>
      <c r="O11" s="769"/>
      <c r="P11" s="769"/>
      <c r="Q11" s="769"/>
      <c r="R11" s="769"/>
      <c r="S11" s="761">
        <v>43500</v>
      </c>
      <c r="T11" s="767">
        <f t="shared" ref="T11:T12" si="0">S11*F11*(G11+H11)</f>
        <v>261000</v>
      </c>
      <c r="U11" s="761">
        <v>43500</v>
      </c>
      <c r="V11" s="767">
        <f t="shared" ref="V11:V12" si="1">U11*F11*(G11+H11)</f>
        <v>261000</v>
      </c>
      <c r="W11" s="761">
        <v>14000</v>
      </c>
      <c r="X11" s="767">
        <f t="shared" ref="X11:X12" si="2">W11*(G11+H11)</f>
        <v>14000</v>
      </c>
      <c r="Y11" s="761">
        <v>500000</v>
      </c>
      <c r="Z11" s="767">
        <f>Y11*(G11+H11)</f>
        <v>500000</v>
      </c>
      <c r="AA11" s="761">
        <f>55000*(G11+H11)</f>
        <v>55000</v>
      </c>
      <c r="AB11" s="761"/>
      <c r="AC11" s="761"/>
      <c r="AD11" s="762">
        <f>T11+V11+X11+Z11+AA11+AB11+AC11</f>
        <v>1091000</v>
      </c>
      <c r="AE11" s="762">
        <f>AD11+R11</f>
        <v>1091000</v>
      </c>
    </row>
    <row r="12" spans="1:33" s="760" customFormat="1" ht="211.5">
      <c r="A12" s="769">
        <v>7</v>
      </c>
      <c r="B12" s="769">
        <v>7</v>
      </c>
      <c r="C12" s="790" t="s">
        <v>914</v>
      </c>
      <c r="D12" s="761" t="s">
        <v>915</v>
      </c>
      <c r="E12" s="767" t="s">
        <v>904</v>
      </c>
      <c r="F12" s="767">
        <v>7</v>
      </c>
      <c r="G12" s="871"/>
      <c r="H12" s="791">
        <v>2</v>
      </c>
      <c r="I12" s="767"/>
      <c r="J12" s="768"/>
      <c r="K12" s="767"/>
      <c r="L12" s="767"/>
      <c r="M12" s="769"/>
      <c r="N12" s="769"/>
      <c r="O12" s="769"/>
      <c r="P12" s="769"/>
      <c r="Q12" s="769"/>
      <c r="R12" s="769"/>
      <c r="S12" s="761">
        <v>43500</v>
      </c>
      <c r="T12" s="767">
        <f t="shared" si="0"/>
        <v>609000</v>
      </c>
      <c r="U12" s="761">
        <v>43500</v>
      </c>
      <c r="V12" s="767">
        <f t="shared" si="1"/>
        <v>609000</v>
      </c>
      <c r="W12" s="761">
        <v>14000</v>
      </c>
      <c r="X12" s="767">
        <f t="shared" si="2"/>
        <v>28000</v>
      </c>
      <c r="Y12" s="761">
        <v>400000</v>
      </c>
      <c r="Z12" s="767">
        <f>Y12*(G12+H12)</f>
        <v>800000</v>
      </c>
      <c r="AA12" s="761"/>
      <c r="AB12" s="761"/>
      <c r="AC12" s="761"/>
      <c r="AD12" s="762">
        <f>T12+V12+X12+Z12+AA12+AB12+AC12</f>
        <v>2046000</v>
      </c>
      <c r="AE12" s="762">
        <f>AD12+R12</f>
        <v>2046000</v>
      </c>
    </row>
    <row r="13" spans="1:33" s="765" customFormat="1" ht="80.25" customHeight="1">
      <c r="A13" s="1742" t="s">
        <v>886</v>
      </c>
      <c r="B13" s="1742"/>
      <c r="C13" s="1742"/>
      <c r="D13" s="1742"/>
      <c r="E13" s="1742"/>
      <c r="F13" s="1742"/>
      <c r="G13" s="1742"/>
      <c r="H13" s="1742"/>
      <c r="I13" s="793"/>
      <c r="J13" s="820">
        <f>SUM(J6:J12)</f>
        <v>782000</v>
      </c>
      <c r="K13" s="763"/>
      <c r="L13" s="820">
        <f>SUM(L6:L12)</f>
        <v>0</v>
      </c>
      <c r="M13" s="763"/>
      <c r="N13" s="820">
        <f>SUM(N6:N12)</f>
        <v>663320</v>
      </c>
      <c r="O13" s="763"/>
      <c r="P13" s="820">
        <f>SUM(P6:P12)</f>
        <v>120000</v>
      </c>
      <c r="Q13" s="794"/>
      <c r="R13" s="820">
        <f>SUM(R6:R12)</f>
        <v>1565320</v>
      </c>
      <c r="S13" s="794"/>
      <c r="T13" s="820">
        <f>SUM(T6:T12)</f>
        <v>1629000</v>
      </c>
      <c r="U13" s="794"/>
      <c r="V13" s="820">
        <f>SUM(V6:V12)</f>
        <v>1569000</v>
      </c>
      <c r="W13" s="794"/>
      <c r="X13" s="820">
        <f>SUM(X6:X12)</f>
        <v>84000</v>
      </c>
      <c r="Y13" s="794"/>
      <c r="Z13" s="820">
        <f>SUM(Z6:Z12)</f>
        <v>2650000</v>
      </c>
      <c r="AA13" s="820">
        <f>SUM(AA6:AA12)</f>
        <v>165000</v>
      </c>
      <c r="AB13" s="794"/>
      <c r="AC13" s="884">
        <f t="shared" ref="AC13:AD13" si="3">SUM(AC6:AC12)</f>
        <v>0</v>
      </c>
      <c r="AD13" s="820">
        <f t="shared" si="3"/>
        <v>6097000</v>
      </c>
      <c r="AE13" s="820">
        <f>SUM(AE6:AE12)</f>
        <v>7662320</v>
      </c>
      <c r="AF13" s="818">
        <f>V13+X13+Z13+AB13+AC13+AD13+AE13</f>
        <v>18062320</v>
      </c>
      <c r="AG13" s="764">
        <f>T13+AF13</f>
        <v>19691320</v>
      </c>
    </row>
    <row r="14" spans="1:33" s="766" customFormat="1" ht="69">
      <c r="A14" s="1736" t="s">
        <v>916</v>
      </c>
      <c r="B14" s="1736"/>
      <c r="C14" s="1736"/>
      <c r="D14" s="1736"/>
      <c r="E14" s="1736"/>
      <c r="F14" s="1736"/>
      <c r="G14" s="1736"/>
      <c r="H14" s="1736"/>
      <c r="I14" s="1736"/>
      <c r="J14" s="1736"/>
      <c r="K14" s="1736"/>
      <c r="L14" s="1736"/>
      <c r="M14" s="1736"/>
      <c r="N14" s="1736"/>
      <c r="O14" s="1736"/>
      <c r="P14" s="1736"/>
      <c r="Q14" s="1736"/>
      <c r="R14" s="1736"/>
      <c r="S14" s="1736"/>
      <c r="T14" s="1736"/>
      <c r="U14" s="1736"/>
      <c r="V14" s="1736"/>
      <c r="W14" s="1736"/>
      <c r="X14" s="1736"/>
      <c r="Y14" s="1736"/>
      <c r="Z14" s="1736"/>
      <c r="AA14" s="1736"/>
      <c r="AB14" s="1736"/>
      <c r="AC14" s="1736"/>
      <c r="AD14" s="1736"/>
      <c r="AE14" s="1736"/>
    </row>
    <row r="15" spans="1:33" s="770" customFormat="1" ht="141">
      <c r="A15" s="769">
        <v>8</v>
      </c>
      <c r="B15" s="769">
        <v>1</v>
      </c>
      <c r="C15" s="795" t="s">
        <v>917</v>
      </c>
      <c r="D15" s="761" t="s">
        <v>918</v>
      </c>
      <c r="E15" s="767" t="s">
        <v>904</v>
      </c>
      <c r="F15" s="767">
        <v>6</v>
      </c>
      <c r="G15" s="871"/>
      <c r="H15" s="791">
        <v>1</v>
      </c>
      <c r="I15" s="767"/>
      <c r="J15" s="768"/>
      <c r="K15" s="767"/>
      <c r="L15" s="767"/>
      <c r="M15" s="769"/>
      <c r="N15" s="769"/>
      <c r="O15" s="769"/>
      <c r="P15" s="769"/>
      <c r="Q15" s="769"/>
      <c r="R15" s="769"/>
      <c r="S15" s="761">
        <v>25000</v>
      </c>
      <c r="T15" s="767">
        <f t="shared" ref="T15:T17" si="4">S15*F15*(G15+H15)</f>
        <v>150000</v>
      </c>
      <c r="U15" s="761">
        <v>15000</v>
      </c>
      <c r="V15" s="767">
        <f t="shared" ref="V15:V17" si="5">U15*F15*(G15+H15)</f>
        <v>90000</v>
      </c>
      <c r="W15" s="761">
        <v>14000</v>
      </c>
      <c r="X15" s="767">
        <f t="shared" ref="X15:X17" si="6">W15*(G15+H15)</f>
        <v>14000</v>
      </c>
      <c r="Y15" s="761">
        <v>350000</v>
      </c>
      <c r="Z15" s="767">
        <f t="shared" ref="Z15:Z17" si="7">Y15*(G15+H15)</f>
        <v>350000</v>
      </c>
      <c r="AA15" s="761"/>
      <c r="AB15" s="761"/>
      <c r="AC15" s="761"/>
      <c r="AD15" s="762">
        <f>T15+V15+X15+Z15+AA15+AB15+AC15</f>
        <v>604000</v>
      </c>
      <c r="AE15" s="762">
        <f>AD15+R15</f>
        <v>604000</v>
      </c>
      <c r="AF15" s="819">
        <f>SUM(AD14,R14)</f>
        <v>0</v>
      </c>
    </row>
    <row r="16" spans="1:33" s="756" customFormat="1" ht="76.5">
      <c r="A16" s="769">
        <v>9</v>
      </c>
      <c r="B16" s="769">
        <v>2</v>
      </c>
      <c r="C16" s="795" t="s">
        <v>917</v>
      </c>
      <c r="D16" s="761" t="s">
        <v>919</v>
      </c>
      <c r="E16" s="767" t="s">
        <v>920</v>
      </c>
      <c r="F16" s="767">
        <v>6</v>
      </c>
      <c r="G16" s="871"/>
      <c r="H16" s="791">
        <v>1</v>
      </c>
      <c r="I16" s="767"/>
      <c r="J16" s="768"/>
      <c r="K16" s="767"/>
      <c r="L16" s="767"/>
      <c r="M16" s="769"/>
      <c r="N16" s="769"/>
      <c r="O16" s="769"/>
      <c r="P16" s="769"/>
      <c r="Q16" s="769"/>
      <c r="R16" s="769"/>
      <c r="S16" s="761">
        <v>25000</v>
      </c>
      <c r="T16" s="767">
        <f t="shared" si="4"/>
        <v>150000</v>
      </c>
      <c r="U16" s="761">
        <v>15000</v>
      </c>
      <c r="V16" s="767">
        <f t="shared" si="5"/>
        <v>90000</v>
      </c>
      <c r="W16" s="761">
        <v>14000</v>
      </c>
      <c r="X16" s="767">
        <f t="shared" si="6"/>
        <v>14000</v>
      </c>
      <c r="Y16" s="761">
        <v>350000</v>
      </c>
      <c r="Z16" s="767">
        <f t="shared" si="7"/>
        <v>350000</v>
      </c>
      <c r="AA16" s="761">
        <f>55000*(G16+H16)</f>
        <v>55000</v>
      </c>
      <c r="AB16" s="761"/>
      <c r="AC16" s="761"/>
      <c r="AD16" s="762">
        <f t="shared" ref="AD16:AD17" si="8">T16+V16+X16+Z16+AA16+AB16+AC16</f>
        <v>659000</v>
      </c>
      <c r="AE16" s="762">
        <f t="shared" ref="AE16:AE21" si="9">AD16+R16</f>
        <v>659000</v>
      </c>
    </row>
    <row r="17" spans="1:31" s="756" customFormat="1" ht="76.5">
      <c r="A17" s="769">
        <v>10</v>
      </c>
      <c r="B17" s="769">
        <v>3</v>
      </c>
      <c r="C17" s="795" t="s">
        <v>917</v>
      </c>
      <c r="D17" s="761" t="s">
        <v>919</v>
      </c>
      <c r="E17" s="767" t="s">
        <v>921</v>
      </c>
      <c r="F17" s="767">
        <v>6</v>
      </c>
      <c r="G17" s="871"/>
      <c r="H17" s="791">
        <v>1</v>
      </c>
      <c r="I17" s="767"/>
      <c r="J17" s="768"/>
      <c r="K17" s="767"/>
      <c r="L17" s="767"/>
      <c r="M17" s="769"/>
      <c r="N17" s="769"/>
      <c r="O17" s="769"/>
      <c r="P17" s="769"/>
      <c r="Q17" s="769"/>
      <c r="R17" s="769"/>
      <c r="S17" s="761">
        <v>25000</v>
      </c>
      <c r="T17" s="767">
        <f t="shared" si="4"/>
        <v>150000</v>
      </c>
      <c r="U17" s="761">
        <v>15000</v>
      </c>
      <c r="V17" s="767">
        <f t="shared" si="5"/>
        <v>90000</v>
      </c>
      <c r="W17" s="761">
        <v>14000</v>
      </c>
      <c r="X17" s="767">
        <f t="shared" si="6"/>
        <v>14000</v>
      </c>
      <c r="Y17" s="761">
        <v>350000</v>
      </c>
      <c r="Z17" s="767">
        <f t="shared" si="7"/>
        <v>350000</v>
      </c>
      <c r="AA17" s="761">
        <f>55000*(G17+H17)</f>
        <v>55000</v>
      </c>
      <c r="AB17" s="761"/>
      <c r="AC17" s="761"/>
      <c r="AD17" s="762">
        <f t="shared" si="8"/>
        <v>659000</v>
      </c>
      <c r="AE17" s="762">
        <f t="shared" si="9"/>
        <v>659000</v>
      </c>
    </row>
    <row r="18" spans="1:31" s="756" customFormat="1" ht="409.5">
      <c r="A18" s="769">
        <v>11</v>
      </c>
      <c r="B18" s="769">
        <v>4</v>
      </c>
      <c r="C18" s="795" t="s">
        <v>922</v>
      </c>
      <c r="D18" s="761" t="s">
        <v>923</v>
      </c>
      <c r="E18" s="767" t="s">
        <v>907</v>
      </c>
      <c r="F18" s="791">
        <v>15</v>
      </c>
      <c r="G18" s="871"/>
      <c r="H18" s="791">
        <v>1</v>
      </c>
      <c r="I18" s="767">
        <v>8500</v>
      </c>
      <c r="J18" s="768">
        <f>(G18+H18)*I18*F18</f>
        <v>127500</v>
      </c>
      <c r="K18" s="767">
        <f>3450*2.5</f>
        <v>8625</v>
      </c>
      <c r="L18" s="767">
        <f>K18*F18*G18</f>
        <v>0</v>
      </c>
      <c r="M18" s="769">
        <f>3605*2</f>
        <v>7210</v>
      </c>
      <c r="N18" s="769">
        <f>M18*H18*F18</f>
        <v>108150</v>
      </c>
      <c r="O18" s="769">
        <v>10000</v>
      </c>
      <c r="P18" s="129">
        <f>O18*H18*2</f>
        <v>20000</v>
      </c>
      <c r="Q18" s="769"/>
      <c r="R18" s="769">
        <f>SUM(J18+L18+N18+P18)+Q18</f>
        <v>255650</v>
      </c>
      <c r="S18" s="769"/>
      <c r="T18" s="769"/>
      <c r="U18" s="769"/>
      <c r="V18" s="769"/>
      <c r="W18" s="769"/>
      <c r="X18" s="769"/>
      <c r="Y18" s="769"/>
      <c r="Z18" s="769"/>
      <c r="AA18" s="769"/>
      <c r="AB18" s="769"/>
      <c r="AC18" s="769"/>
      <c r="AD18" s="762"/>
      <c r="AE18" s="762">
        <f t="shared" si="9"/>
        <v>255650</v>
      </c>
    </row>
    <row r="19" spans="1:31" s="756" customFormat="1" ht="211.5">
      <c r="A19" s="769">
        <v>12</v>
      </c>
      <c r="B19" s="769">
        <v>5</v>
      </c>
      <c r="C19" s="790" t="s">
        <v>909</v>
      </c>
      <c r="D19" s="761" t="s">
        <v>912</v>
      </c>
      <c r="E19" s="767" t="s">
        <v>910</v>
      </c>
      <c r="F19" s="767">
        <v>7</v>
      </c>
      <c r="G19" s="871"/>
      <c r="H19" s="791">
        <v>1</v>
      </c>
      <c r="I19" s="767"/>
      <c r="J19" s="768"/>
      <c r="K19" s="767"/>
      <c r="L19" s="767"/>
      <c r="M19" s="769"/>
      <c r="N19" s="769"/>
      <c r="O19" s="769"/>
      <c r="P19" s="769"/>
      <c r="Q19" s="769"/>
      <c r="R19" s="769"/>
      <c r="S19" s="761">
        <v>43500</v>
      </c>
      <c r="T19" s="767">
        <f>S19*F19*(G19+H19)</f>
        <v>304500</v>
      </c>
      <c r="U19" s="761">
        <v>43500</v>
      </c>
      <c r="V19" s="767">
        <f>U19*F19*(G19+H19)</f>
        <v>304500</v>
      </c>
      <c r="W19" s="761">
        <v>14000</v>
      </c>
      <c r="X19" s="767">
        <f>W19*(G19+H19)</f>
        <v>14000</v>
      </c>
      <c r="Y19" s="761">
        <v>400000</v>
      </c>
      <c r="Z19" s="767">
        <f>Y19*(G19+H19)</f>
        <v>400000</v>
      </c>
      <c r="AA19" s="761">
        <f>55000*(G19+H19)</f>
        <v>55000</v>
      </c>
      <c r="AB19" s="761"/>
      <c r="AC19" s="761"/>
      <c r="AD19" s="762">
        <f>T19+V19+X19+Z19+AA19+AB19+AC19</f>
        <v>1078000</v>
      </c>
      <c r="AE19" s="762">
        <f t="shared" si="9"/>
        <v>1078000</v>
      </c>
    </row>
    <row r="20" spans="1:31" s="756" customFormat="1" ht="409.5">
      <c r="A20" s="769">
        <v>13</v>
      </c>
      <c r="B20" s="769">
        <v>6</v>
      </c>
      <c r="C20" s="795" t="s">
        <v>924</v>
      </c>
      <c r="D20" s="761" t="s">
        <v>925</v>
      </c>
      <c r="E20" s="767" t="s">
        <v>907</v>
      </c>
      <c r="F20" s="791">
        <v>14</v>
      </c>
      <c r="G20" s="871"/>
      <c r="H20" s="791">
        <v>1</v>
      </c>
      <c r="I20" s="767">
        <v>8500</v>
      </c>
      <c r="J20" s="768">
        <f>(G20+H20)*I20*F20</f>
        <v>119000</v>
      </c>
      <c r="K20" s="767">
        <f>3450*2.5</f>
        <v>8625</v>
      </c>
      <c r="L20" s="767">
        <f>K20*F20*G20</f>
        <v>0</v>
      </c>
      <c r="M20" s="769">
        <f>3605*2</f>
        <v>7210</v>
      </c>
      <c r="N20" s="769">
        <f>M20*H20*F20</f>
        <v>100940</v>
      </c>
      <c r="O20" s="769">
        <v>10000</v>
      </c>
      <c r="P20" s="129">
        <f>O20*H20*2</f>
        <v>20000</v>
      </c>
      <c r="Q20" s="769"/>
      <c r="R20" s="769">
        <f>SUM(J20+L20+N20+P20)+Q20</f>
        <v>239940</v>
      </c>
      <c r="S20" s="769"/>
      <c r="T20" s="769"/>
      <c r="U20" s="769"/>
      <c r="V20" s="769"/>
      <c r="W20" s="769"/>
      <c r="X20" s="769"/>
      <c r="Y20" s="769"/>
      <c r="Z20" s="769"/>
      <c r="AA20" s="769"/>
      <c r="AB20" s="769"/>
      <c r="AC20" s="769"/>
      <c r="AD20" s="762"/>
      <c r="AE20" s="762">
        <f t="shared" si="9"/>
        <v>239940</v>
      </c>
    </row>
    <row r="21" spans="1:31" s="756" customFormat="1" ht="138">
      <c r="A21" s="789">
        <v>14</v>
      </c>
      <c r="B21" s="768">
        <v>7</v>
      </c>
      <c r="C21" s="790" t="s">
        <v>914</v>
      </c>
      <c r="D21" s="761" t="s">
        <v>926</v>
      </c>
      <c r="E21" s="767" t="s">
        <v>927</v>
      </c>
      <c r="F21" s="767">
        <v>7</v>
      </c>
      <c r="G21" s="871"/>
      <c r="H21" s="791">
        <v>1</v>
      </c>
      <c r="I21" s="767"/>
      <c r="J21" s="768"/>
      <c r="K21" s="767"/>
      <c r="L21" s="767"/>
      <c r="M21" s="769"/>
      <c r="N21" s="769"/>
      <c r="O21" s="769"/>
      <c r="P21" s="769"/>
      <c r="Q21" s="769"/>
      <c r="R21" s="769"/>
      <c r="S21" s="761">
        <v>43500</v>
      </c>
      <c r="T21" s="767">
        <f>S21*F21*(G21+H21)</f>
        <v>304500</v>
      </c>
      <c r="U21" s="761">
        <v>43500</v>
      </c>
      <c r="V21" s="767">
        <f>U21*F21*(G21+H21)</f>
        <v>304500</v>
      </c>
      <c r="W21" s="761">
        <v>14000</v>
      </c>
      <c r="X21" s="767">
        <f>W21*(G21+H21)</f>
        <v>14000</v>
      </c>
      <c r="Y21" s="761">
        <v>400000</v>
      </c>
      <c r="Z21" s="767">
        <f>Y21*(G21+H21)</f>
        <v>400000</v>
      </c>
      <c r="AA21" s="761">
        <f>55000*(G21+H21)</f>
        <v>55000</v>
      </c>
      <c r="AB21" s="761"/>
      <c r="AC21" s="761"/>
      <c r="AD21" s="762">
        <f>T21+V21+X21+Z21+AA21+AB21+AC21</f>
        <v>1078000</v>
      </c>
      <c r="AE21" s="762">
        <f t="shared" si="9"/>
        <v>1078000</v>
      </c>
    </row>
    <row r="22" spans="1:31" s="756" customFormat="1" ht="76.5" customHeight="1">
      <c r="A22" s="1661" t="s">
        <v>886</v>
      </c>
      <c r="B22" s="1661"/>
      <c r="C22" s="1661"/>
      <c r="D22" s="1661"/>
      <c r="E22" s="1661"/>
      <c r="F22" s="1661"/>
      <c r="G22" s="1661"/>
      <c r="H22" s="1661"/>
      <c r="I22" s="870"/>
      <c r="J22" s="870">
        <f>SUM(J15:J21)</f>
        <v>246500</v>
      </c>
      <c r="K22" s="870"/>
      <c r="L22" s="870">
        <f>SUM(L15:L21)</f>
        <v>0</v>
      </c>
      <c r="M22" s="870"/>
      <c r="N22" s="870">
        <f>SUM(N15:N21)</f>
        <v>209090</v>
      </c>
      <c r="O22" s="869"/>
      <c r="P22" s="870">
        <f>SUM(P15:P21)</f>
        <v>40000</v>
      </c>
      <c r="Q22" s="869"/>
      <c r="R22" s="870">
        <f>SUM(R15:R21)</f>
        <v>495590</v>
      </c>
      <c r="S22" s="869"/>
      <c r="T22" s="870">
        <f>SUM(T15:T21)</f>
        <v>1059000</v>
      </c>
      <c r="U22" s="869"/>
      <c r="V22" s="870">
        <f>SUM(V15:V21)</f>
        <v>879000</v>
      </c>
      <c r="W22" s="869"/>
      <c r="X22" s="870">
        <f>SUM(X15:X21)</f>
        <v>70000</v>
      </c>
      <c r="Y22" s="869"/>
      <c r="Z22" s="870">
        <f t="shared" ref="Z22:AA22" si="10">SUM(Z15:Z21)</f>
        <v>1850000</v>
      </c>
      <c r="AA22" s="870">
        <f t="shared" si="10"/>
        <v>220000</v>
      </c>
      <c r="AB22" s="870"/>
      <c r="AC22" s="885">
        <f t="shared" ref="AC22:AD22" si="11">SUM(AC15:AC21)</f>
        <v>0</v>
      </c>
      <c r="AD22" s="870">
        <f t="shared" si="11"/>
        <v>4078000</v>
      </c>
      <c r="AE22" s="870">
        <f>SUM(AE15:AE21)</f>
        <v>4573590</v>
      </c>
    </row>
    <row r="23" spans="1:31" s="771" customFormat="1" ht="76.5">
      <c r="A23" s="1738" t="s">
        <v>928</v>
      </c>
      <c r="B23" s="1738"/>
      <c r="C23" s="1738"/>
      <c r="D23" s="1738"/>
      <c r="E23" s="1738"/>
      <c r="F23" s="1738"/>
      <c r="G23" s="1738"/>
      <c r="H23" s="1738"/>
      <c r="I23" s="1738"/>
      <c r="J23" s="1738"/>
      <c r="K23" s="1738"/>
      <c r="L23" s="1738"/>
      <c r="M23" s="1738"/>
      <c r="N23" s="1738"/>
      <c r="O23" s="1738"/>
      <c r="P23" s="1738"/>
      <c r="Q23" s="1738"/>
      <c r="R23" s="1738"/>
      <c r="S23" s="1738"/>
      <c r="T23" s="1738"/>
      <c r="U23" s="1738"/>
      <c r="V23" s="1738"/>
      <c r="W23" s="1738"/>
      <c r="X23" s="1738"/>
      <c r="Y23" s="1738"/>
      <c r="Z23" s="1738"/>
      <c r="AA23" s="1738"/>
      <c r="AB23" s="1738"/>
      <c r="AC23" s="1738"/>
      <c r="AD23" s="1738"/>
      <c r="AE23" s="1738"/>
    </row>
    <row r="24" spans="1:31" s="756" customFormat="1" ht="409.5">
      <c r="A24" s="796">
        <v>15</v>
      </c>
      <c r="B24" s="126">
        <v>1</v>
      </c>
      <c r="C24" s="797" t="s">
        <v>929</v>
      </c>
      <c r="D24" s="798" t="s">
        <v>930</v>
      </c>
      <c r="E24" s="798" t="s">
        <v>931</v>
      </c>
      <c r="F24" s="772">
        <v>10</v>
      </c>
      <c r="G24" s="872"/>
      <c r="H24" s="773">
        <v>2</v>
      </c>
      <c r="I24" s="773">
        <v>9000</v>
      </c>
      <c r="J24" s="768">
        <f>(G24+H24)*I24*F24</f>
        <v>180000</v>
      </c>
      <c r="K24" s="773">
        <v>8000</v>
      </c>
      <c r="L24" s="767">
        <f t="shared" ref="L24:L25" si="12">K24*F24*G24</f>
        <v>0</v>
      </c>
      <c r="M24" s="769">
        <f>3605*2</f>
        <v>7210</v>
      </c>
      <c r="N24" s="769">
        <f t="shared" ref="N24:N25" si="13">M24*H24*F24</f>
        <v>144200</v>
      </c>
      <c r="O24" s="774">
        <v>10000</v>
      </c>
      <c r="P24" s="129">
        <f t="shared" ref="P24:P25" si="14">O24*H24*2</f>
        <v>40000</v>
      </c>
      <c r="Q24" s="774"/>
      <c r="R24" s="769">
        <f>SUM(J24+L24+N24+P24)+Q24</f>
        <v>364200</v>
      </c>
      <c r="S24" s="772"/>
      <c r="T24" s="773"/>
      <c r="U24" s="772"/>
      <c r="V24" s="773"/>
      <c r="W24" s="774"/>
      <c r="X24" s="774"/>
      <c r="Y24" s="774"/>
      <c r="Z24" s="774"/>
      <c r="AA24" s="774"/>
      <c r="AB24" s="774"/>
      <c r="AC24" s="778"/>
      <c r="AD24" s="773"/>
      <c r="AE24" s="773">
        <f>AD24+R24</f>
        <v>364200</v>
      </c>
    </row>
    <row r="25" spans="1:31" s="756" customFormat="1" ht="352.5">
      <c r="A25" s="796">
        <v>16</v>
      </c>
      <c r="B25" s="126">
        <v>2</v>
      </c>
      <c r="C25" s="797" t="s">
        <v>932</v>
      </c>
      <c r="D25" s="798" t="s">
        <v>933</v>
      </c>
      <c r="E25" s="798" t="s">
        <v>934</v>
      </c>
      <c r="F25" s="772">
        <v>3</v>
      </c>
      <c r="G25" s="872"/>
      <c r="H25" s="773">
        <v>1</v>
      </c>
      <c r="I25" s="773">
        <v>9000</v>
      </c>
      <c r="J25" s="768">
        <f>(G25+H25)*I25*F25</f>
        <v>27000</v>
      </c>
      <c r="K25" s="773">
        <v>8000</v>
      </c>
      <c r="L25" s="767">
        <f t="shared" si="12"/>
        <v>0</v>
      </c>
      <c r="M25" s="769">
        <f>3605*2</f>
        <v>7210</v>
      </c>
      <c r="N25" s="769">
        <f t="shared" si="13"/>
        <v>21630</v>
      </c>
      <c r="O25" s="774">
        <v>20000</v>
      </c>
      <c r="P25" s="129">
        <f t="shared" si="14"/>
        <v>40000</v>
      </c>
      <c r="Q25" s="774"/>
      <c r="R25" s="769">
        <f>SUM(J25+L25+N25+P25)+Q25</f>
        <v>88630</v>
      </c>
      <c r="S25" s="772"/>
      <c r="T25" s="773"/>
      <c r="U25" s="772"/>
      <c r="V25" s="773"/>
      <c r="W25" s="774"/>
      <c r="X25" s="774"/>
      <c r="Y25" s="774"/>
      <c r="Z25" s="774"/>
      <c r="AA25" s="774"/>
      <c r="AB25" s="774"/>
      <c r="AC25" s="778"/>
      <c r="AD25" s="773"/>
      <c r="AE25" s="773">
        <f t="shared" ref="AE25:AE35" si="15">AD25+R25</f>
        <v>88630</v>
      </c>
    </row>
    <row r="26" spans="1:31" s="756" customFormat="1" ht="211.5">
      <c r="A26" s="796">
        <v>17</v>
      </c>
      <c r="B26" s="126">
        <v>3</v>
      </c>
      <c r="C26" s="799" t="s">
        <v>935</v>
      </c>
      <c r="D26" s="798" t="s">
        <v>936</v>
      </c>
      <c r="E26" s="798" t="s">
        <v>904</v>
      </c>
      <c r="F26" s="772">
        <v>7</v>
      </c>
      <c r="G26" s="872"/>
      <c r="H26" s="773">
        <v>2</v>
      </c>
      <c r="I26" s="773"/>
      <c r="J26" s="773"/>
      <c r="K26" s="773"/>
      <c r="L26" s="773"/>
      <c r="M26" s="773"/>
      <c r="N26" s="773"/>
      <c r="O26" s="774"/>
      <c r="P26" s="774"/>
      <c r="Q26" s="774"/>
      <c r="R26" s="773"/>
      <c r="S26" s="772">
        <v>45000</v>
      </c>
      <c r="T26" s="767">
        <f>S26*F26*(G26+H26)</f>
        <v>630000</v>
      </c>
      <c r="U26" s="772">
        <v>15000</v>
      </c>
      <c r="V26" s="767">
        <f>U26*F26*(G26+H26)</f>
        <v>210000</v>
      </c>
      <c r="W26" s="761">
        <v>14000</v>
      </c>
      <c r="X26" s="767">
        <f>W26*(G26+H26)</f>
        <v>28000</v>
      </c>
      <c r="Y26" s="774">
        <v>350000</v>
      </c>
      <c r="Z26" s="767">
        <f>Y26*(G26+H26)</f>
        <v>700000</v>
      </c>
      <c r="AA26" s="774"/>
      <c r="AB26" s="774"/>
      <c r="AC26" s="778"/>
      <c r="AD26" s="762">
        <f>T26+V26+X26+Z26+AA26+AB26+AC26</f>
        <v>1568000</v>
      </c>
      <c r="AE26" s="773">
        <f t="shared" si="15"/>
        <v>1568000</v>
      </c>
    </row>
    <row r="27" spans="1:31" s="756" customFormat="1" ht="409.5">
      <c r="A27" s="796">
        <v>18</v>
      </c>
      <c r="B27" s="126">
        <v>4</v>
      </c>
      <c r="C27" s="797" t="s">
        <v>929</v>
      </c>
      <c r="D27" s="798" t="s">
        <v>937</v>
      </c>
      <c r="E27" s="798" t="s">
        <v>931</v>
      </c>
      <c r="F27" s="772">
        <v>12</v>
      </c>
      <c r="G27" s="872"/>
      <c r="H27" s="773">
        <v>2</v>
      </c>
      <c r="I27" s="773">
        <v>9000</v>
      </c>
      <c r="J27" s="768">
        <f>(G27+H27)*I27*F27</f>
        <v>216000</v>
      </c>
      <c r="K27" s="773">
        <v>8000</v>
      </c>
      <c r="L27" s="767">
        <f>K27*F27*G27</f>
        <v>0</v>
      </c>
      <c r="M27" s="769">
        <f>3605*2</f>
        <v>7210</v>
      </c>
      <c r="N27" s="769">
        <f>M27*H27*F27</f>
        <v>173040</v>
      </c>
      <c r="O27" s="774">
        <v>10000</v>
      </c>
      <c r="P27" s="129">
        <f>O27*H27*2</f>
        <v>40000</v>
      </c>
      <c r="Q27" s="774"/>
      <c r="R27" s="769">
        <f>SUM(J27+L27+N27+P27)+Q27</f>
        <v>429040</v>
      </c>
      <c r="S27" s="772"/>
      <c r="T27" s="773"/>
      <c r="U27" s="772"/>
      <c r="V27" s="773"/>
      <c r="W27" s="774"/>
      <c r="X27" s="774"/>
      <c r="Y27" s="774"/>
      <c r="Z27" s="774"/>
      <c r="AA27" s="774"/>
      <c r="AB27" s="774"/>
      <c r="AC27" s="778"/>
      <c r="AD27" s="773"/>
      <c r="AE27" s="773">
        <f t="shared" si="15"/>
        <v>429040</v>
      </c>
    </row>
    <row r="28" spans="1:31" s="756" customFormat="1" ht="211.5">
      <c r="A28" s="796">
        <v>19</v>
      </c>
      <c r="B28" s="126">
        <v>5</v>
      </c>
      <c r="C28" s="799" t="s">
        <v>935</v>
      </c>
      <c r="D28" s="798" t="s">
        <v>937</v>
      </c>
      <c r="E28" s="798" t="s">
        <v>938</v>
      </c>
      <c r="F28" s="772">
        <v>7</v>
      </c>
      <c r="G28" s="872"/>
      <c r="H28" s="773">
        <v>2</v>
      </c>
      <c r="I28" s="773"/>
      <c r="J28" s="773"/>
      <c r="K28" s="773"/>
      <c r="L28" s="773"/>
      <c r="M28" s="773"/>
      <c r="N28" s="773"/>
      <c r="O28" s="774"/>
      <c r="P28" s="774"/>
      <c r="Q28" s="774"/>
      <c r="R28" s="773"/>
      <c r="S28" s="772">
        <v>45000</v>
      </c>
      <c r="T28" s="767">
        <f>S28*F28*(G28+H28)</f>
        <v>630000</v>
      </c>
      <c r="U28" s="772">
        <v>21500</v>
      </c>
      <c r="V28" s="767">
        <f>U28*F28*(G28+H28)</f>
        <v>301000</v>
      </c>
      <c r="W28" s="761">
        <v>14000</v>
      </c>
      <c r="X28" s="767">
        <f>W28*(G28+H28)</f>
        <v>28000</v>
      </c>
      <c r="Y28" s="774">
        <v>500000</v>
      </c>
      <c r="Z28" s="767">
        <f>Y28*(G28+H28)</f>
        <v>1000000</v>
      </c>
      <c r="AA28" s="761">
        <f>55000*(G28+H28)</f>
        <v>110000</v>
      </c>
      <c r="AB28" s="774"/>
      <c r="AC28" s="778"/>
      <c r="AD28" s="762">
        <f>T28+V28+X28+Z28+AA28+AB28+AC28</f>
        <v>2069000</v>
      </c>
      <c r="AE28" s="773">
        <f t="shared" si="15"/>
        <v>2069000</v>
      </c>
    </row>
    <row r="29" spans="1:31" s="756" customFormat="1" ht="409.5">
      <c r="A29" s="796">
        <v>20</v>
      </c>
      <c r="B29" s="126">
        <v>6</v>
      </c>
      <c r="C29" s="799" t="s">
        <v>929</v>
      </c>
      <c r="D29" s="798" t="s">
        <v>919</v>
      </c>
      <c r="E29" s="798" t="s">
        <v>931</v>
      </c>
      <c r="F29" s="772">
        <v>14</v>
      </c>
      <c r="G29" s="872"/>
      <c r="H29" s="773">
        <v>2</v>
      </c>
      <c r="I29" s="773">
        <v>9000</v>
      </c>
      <c r="J29" s="768">
        <f>(G29+H29)*I29*F29</f>
        <v>252000</v>
      </c>
      <c r="K29" s="773">
        <v>8000</v>
      </c>
      <c r="L29" s="767">
        <f>K29*F29*G29</f>
        <v>0</v>
      </c>
      <c r="M29" s="769">
        <f>3605*2</f>
        <v>7210</v>
      </c>
      <c r="N29" s="769">
        <f>M29*H29*F29</f>
        <v>201880</v>
      </c>
      <c r="O29" s="774">
        <v>10000</v>
      </c>
      <c r="P29" s="129">
        <f>O29*H29*2</f>
        <v>40000</v>
      </c>
      <c r="Q29" s="774"/>
      <c r="R29" s="769">
        <f>SUM(J29+L29+N29+P29)+Q29</f>
        <v>493880</v>
      </c>
      <c r="S29" s="772"/>
      <c r="T29" s="773"/>
      <c r="U29" s="774"/>
      <c r="V29" s="773"/>
      <c r="W29" s="774"/>
      <c r="X29" s="774"/>
      <c r="Y29" s="774"/>
      <c r="Z29" s="774"/>
      <c r="AA29" s="774"/>
      <c r="AB29" s="774"/>
      <c r="AC29" s="778"/>
      <c r="AD29" s="773"/>
      <c r="AE29" s="773">
        <f t="shared" si="15"/>
        <v>493880</v>
      </c>
    </row>
    <row r="30" spans="1:31" s="756" customFormat="1" ht="211.5">
      <c r="A30" s="796">
        <v>21</v>
      </c>
      <c r="B30" s="126">
        <v>7</v>
      </c>
      <c r="C30" s="799" t="s">
        <v>935</v>
      </c>
      <c r="D30" s="798" t="s">
        <v>919</v>
      </c>
      <c r="E30" s="798" t="s">
        <v>927</v>
      </c>
      <c r="F30" s="772">
        <v>7</v>
      </c>
      <c r="G30" s="872"/>
      <c r="H30" s="773">
        <v>2</v>
      </c>
      <c r="I30" s="773"/>
      <c r="J30" s="773"/>
      <c r="K30" s="773"/>
      <c r="L30" s="773"/>
      <c r="M30" s="773"/>
      <c r="N30" s="773"/>
      <c r="O30" s="774"/>
      <c r="P30" s="774"/>
      <c r="Q30" s="774"/>
      <c r="R30" s="773"/>
      <c r="S30" s="772">
        <v>40000</v>
      </c>
      <c r="T30" s="767">
        <f>S30*F30*(G30+H30)</f>
        <v>560000</v>
      </c>
      <c r="U30" s="772">
        <v>14638</v>
      </c>
      <c r="V30" s="767">
        <f>U30*F30*(G30+H30)</f>
        <v>204932</v>
      </c>
      <c r="W30" s="761">
        <v>14000</v>
      </c>
      <c r="X30" s="767">
        <f>W30*(G30+H30)</f>
        <v>28000</v>
      </c>
      <c r="Y30" s="774">
        <v>380000</v>
      </c>
      <c r="Z30" s="767">
        <f>Y30*(G30+H30)</f>
        <v>760000</v>
      </c>
      <c r="AA30" s="761">
        <f>55000*(G30+H30)</f>
        <v>110000</v>
      </c>
      <c r="AB30" s="774"/>
      <c r="AC30" s="778"/>
      <c r="AD30" s="762">
        <f>T30+V30+X30+Z30+AA30+AB30+AC30</f>
        <v>1662932</v>
      </c>
      <c r="AE30" s="773">
        <f t="shared" si="15"/>
        <v>1662932</v>
      </c>
    </row>
    <row r="31" spans="1:31" s="756" customFormat="1" ht="409.5">
      <c r="A31" s="796">
        <v>22</v>
      </c>
      <c r="B31" s="126">
        <v>8</v>
      </c>
      <c r="C31" s="799" t="s">
        <v>929</v>
      </c>
      <c r="D31" s="798" t="s">
        <v>939</v>
      </c>
      <c r="E31" s="798" t="s">
        <v>931</v>
      </c>
      <c r="F31" s="772">
        <v>18</v>
      </c>
      <c r="G31" s="872"/>
      <c r="H31" s="773">
        <v>2</v>
      </c>
      <c r="I31" s="773">
        <v>9000</v>
      </c>
      <c r="J31" s="768">
        <f>(G31+H31)*I31*F31</f>
        <v>324000</v>
      </c>
      <c r="K31" s="773">
        <v>8000</v>
      </c>
      <c r="L31" s="767">
        <f>K31*F31*G31</f>
        <v>0</v>
      </c>
      <c r="M31" s="769">
        <f>3605*2</f>
        <v>7210</v>
      </c>
      <c r="N31" s="769">
        <f>M31*H31*F31</f>
        <v>259560</v>
      </c>
      <c r="O31" s="774">
        <v>10000</v>
      </c>
      <c r="P31" s="129">
        <f>O31*H31*2</f>
        <v>40000</v>
      </c>
      <c r="Q31" s="774"/>
      <c r="R31" s="769">
        <f>SUM(J31+L31+N31+P31)+Q31</f>
        <v>623560</v>
      </c>
      <c r="S31" s="772"/>
      <c r="T31" s="773"/>
      <c r="U31" s="772"/>
      <c r="V31" s="773"/>
      <c r="W31" s="774"/>
      <c r="X31" s="774"/>
      <c r="Y31" s="774"/>
      <c r="Z31" s="774"/>
      <c r="AA31" s="774"/>
      <c r="AB31" s="774"/>
      <c r="AC31" s="778"/>
      <c r="AD31" s="773"/>
      <c r="AE31" s="773">
        <f t="shared" si="15"/>
        <v>623560</v>
      </c>
    </row>
    <row r="32" spans="1:31" s="756" customFormat="1" ht="352.5">
      <c r="A32" s="796">
        <v>23</v>
      </c>
      <c r="B32" s="126">
        <v>9</v>
      </c>
      <c r="C32" s="799" t="s">
        <v>940</v>
      </c>
      <c r="D32" s="798" t="s">
        <v>941</v>
      </c>
      <c r="E32" s="798" t="s">
        <v>942</v>
      </c>
      <c r="F32" s="772">
        <v>10</v>
      </c>
      <c r="G32" s="872"/>
      <c r="H32" s="773">
        <v>2</v>
      </c>
      <c r="I32" s="773"/>
      <c r="J32" s="773"/>
      <c r="K32" s="773"/>
      <c r="L32" s="773"/>
      <c r="M32" s="773"/>
      <c r="N32" s="773"/>
      <c r="O32" s="774"/>
      <c r="P32" s="774"/>
      <c r="Q32" s="774"/>
      <c r="R32" s="773"/>
      <c r="S32" s="772">
        <v>45000</v>
      </c>
      <c r="T32" s="767">
        <f>S32*F32*(G32+H32)</f>
        <v>900000</v>
      </c>
      <c r="U32" s="772">
        <v>15000</v>
      </c>
      <c r="V32" s="767">
        <f>U32*F32*(G32+H32)</f>
        <v>300000</v>
      </c>
      <c r="W32" s="761">
        <v>14000</v>
      </c>
      <c r="X32" s="767">
        <f>W32*(G32+H32)</f>
        <v>28000</v>
      </c>
      <c r="Y32" s="774">
        <v>400000</v>
      </c>
      <c r="Z32" s="767">
        <f>Y32*(G32+H32)</f>
        <v>800000</v>
      </c>
      <c r="AA32" s="774"/>
      <c r="AB32" s="774"/>
      <c r="AC32" s="778"/>
      <c r="AD32" s="762">
        <f>T32+V32+X32+Z32+AA32+AB32+AC32</f>
        <v>2028000</v>
      </c>
      <c r="AE32" s="773">
        <f t="shared" si="15"/>
        <v>2028000</v>
      </c>
    </row>
    <row r="33" spans="1:31" s="756" customFormat="1" ht="409.5">
      <c r="A33" s="796">
        <v>24</v>
      </c>
      <c r="B33" s="126">
        <v>10</v>
      </c>
      <c r="C33" s="799" t="s">
        <v>943</v>
      </c>
      <c r="D33" s="798" t="s">
        <v>926</v>
      </c>
      <c r="E33" s="798" t="s">
        <v>931</v>
      </c>
      <c r="F33" s="772">
        <v>14</v>
      </c>
      <c r="G33" s="872"/>
      <c r="H33" s="773">
        <v>2</v>
      </c>
      <c r="I33" s="773">
        <v>9000</v>
      </c>
      <c r="J33" s="768">
        <f>(G33+H33)*I33*F33</f>
        <v>252000</v>
      </c>
      <c r="K33" s="773">
        <v>8000</v>
      </c>
      <c r="L33" s="767">
        <f>K33*F33*G33</f>
        <v>0</v>
      </c>
      <c r="M33" s="769">
        <f>3605*2</f>
        <v>7210</v>
      </c>
      <c r="N33" s="769">
        <f>M33*H33*F33</f>
        <v>201880</v>
      </c>
      <c r="O33" s="774">
        <v>10000</v>
      </c>
      <c r="P33" s="129">
        <f>O33*H33*2</f>
        <v>40000</v>
      </c>
      <c r="Q33" s="774"/>
      <c r="R33" s="769">
        <f>SUM(J33+L33+N33+P33)+Q33</f>
        <v>493880</v>
      </c>
      <c r="S33" s="772"/>
      <c r="T33" s="773"/>
      <c r="U33" s="772"/>
      <c r="V33" s="773"/>
      <c r="W33" s="774"/>
      <c r="X33" s="774"/>
      <c r="Y33" s="774"/>
      <c r="Z33" s="774"/>
      <c r="AA33" s="774"/>
      <c r="AB33" s="774"/>
      <c r="AC33" s="778"/>
      <c r="AD33" s="773"/>
      <c r="AE33" s="773">
        <f t="shared" si="15"/>
        <v>493880</v>
      </c>
    </row>
    <row r="34" spans="1:31" s="756" customFormat="1" ht="76.5">
      <c r="A34" s="129">
        <v>25</v>
      </c>
      <c r="B34" s="126">
        <v>11</v>
      </c>
      <c r="C34" s="799" t="s">
        <v>944</v>
      </c>
      <c r="D34" s="798" t="s">
        <v>926</v>
      </c>
      <c r="E34" s="798" t="s">
        <v>413</v>
      </c>
      <c r="F34" s="772">
        <v>8</v>
      </c>
      <c r="G34" s="872"/>
      <c r="H34" s="773">
        <v>2</v>
      </c>
      <c r="I34" s="773"/>
      <c r="J34" s="773"/>
      <c r="K34" s="773"/>
      <c r="L34" s="773"/>
      <c r="M34" s="773"/>
      <c r="N34" s="773"/>
      <c r="O34" s="774"/>
      <c r="P34" s="774"/>
      <c r="Q34" s="774"/>
      <c r="R34" s="773"/>
      <c r="S34" s="772">
        <v>45000</v>
      </c>
      <c r="T34" s="767">
        <f t="shared" ref="T34:T35" si="16">S34*F34*(G34+H34)</f>
        <v>720000</v>
      </c>
      <c r="U34" s="772">
        <v>15000</v>
      </c>
      <c r="V34" s="767">
        <f t="shared" ref="V34:V35" si="17">U34*F34*(G34+H34)</f>
        <v>240000</v>
      </c>
      <c r="W34" s="761">
        <v>14000</v>
      </c>
      <c r="X34" s="767">
        <f t="shared" ref="X34:X35" si="18">W34*(G34+H34)</f>
        <v>28000</v>
      </c>
      <c r="Y34" s="774">
        <v>400000</v>
      </c>
      <c r="Z34" s="767">
        <f t="shared" ref="Z34:Z35" si="19">Y34*(G34+H34)</f>
        <v>800000</v>
      </c>
      <c r="AA34" s="761">
        <f t="shared" ref="AA34:AA35" si="20">55000*(G34+H34)</f>
        <v>110000</v>
      </c>
      <c r="AB34" s="774"/>
      <c r="AC34" s="778"/>
      <c r="AD34" s="762">
        <f t="shared" ref="AD34:AD35" si="21">T34+V34+X34+Z34+AA34+AB34+AC34</f>
        <v>1898000</v>
      </c>
      <c r="AE34" s="773">
        <f t="shared" si="15"/>
        <v>1898000</v>
      </c>
    </row>
    <row r="35" spans="1:31" s="756" customFormat="1" ht="76.5">
      <c r="A35" s="129">
        <v>26</v>
      </c>
      <c r="B35" s="126">
        <v>12</v>
      </c>
      <c r="C35" s="799" t="s">
        <v>945</v>
      </c>
      <c r="D35" s="798" t="s">
        <v>946</v>
      </c>
      <c r="E35" s="798" t="s">
        <v>398</v>
      </c>
      <c r="F35" s="772">
        <v>7</v>
      </c>
      <c r="G35" s="872"/>
      <c r="H35" s="773">
        <v>2</v>
      </c>
      <c r="I35" s="773"/>
      <c r="J35" s="773"/>
      <c r="K35" s="773"/>
      <c r="L35" s="773"/>
      <c r="M35" s="773"/>
      <c r="N35" s="773"/>
      <c r="O35" s="774"/>
      <c r="P35" s="774"/>
      <c r="Q35" s="774"/>
      <c r="R35" s="773"/>
      <c r="S35" s="772">
        <v>35000</v>
      </c>
      <c r="T35" s="767">
        <f t="shared" si="16"/>
        <v>490000</v>
      </c>
      <c r="U35" s="772">
        <v>10000</v>
      </c>
      <c r="V35" s="767">
        <f t="shared" si="17"/>
        <v>140000</v>
      </c>
      <c r="W35" s="761">
        <v>14000</v>
      </c>
      <c r="X35" s="767">
        <f t="shared" si="18"/>
        <v>28000</v>
      </c>
      <c r="Y35" s="774">
        <v>350000</v>
      </c>
      <c r="Z35" s="767">
        <f t="shared" si="19"/>
        <v>700000</v>
      </c>
      <c r="AA35" s="761">
        <f t="shared" si="20"/>
        <v>110000</v>
      </c>
      <c r="AB35" s="774"/>
      <c r="AC35" s="778"/>
      <c r="AD35" s="762">
        <f t="shared" si="21"/>
        <v>1468000</v>
      </c>
      <c r="AE35" s="773">
        <f t="shared" si="15"/>
        <v>1468000</v>
      </c>
    </row>
    <row r="36" spans="1:31" s="756" customFormat="1" ht="76.5">
      <c r="A36" s="1661" t="s">
        <v>886</v>
      </c>
      <c r="B36" s="1661"/>
      <c r="C36" s="1661"/>
      <c r="D36" s="1661"/>
      <c r="E36" s="1661"/>
      <c r="F36" s="1661"/>
      <c r="G36" s="1661"/>
      <c r="H36" s="1661"/>
      <c r="I36" s="775"/>
      <c r="J36" s="868">
        <f>SUM(J24:J35)</f>
        <v>1251000</v>
      </c>
      <c r="K36" s="868"/>
      <c r="L36" s="868">
        <f>SUM(L24:L35)</f>
        <v>0</v>
      </c>
      <c r="M36" s="868"/>
      <c r="N36" s="868">
        <f>SUM(N24:N35)</f>
        <v>1002190</v>
      </c>
      <c r="O36" s="776"/>
      <c r="P36" s="868">
        <f>SUM(P24:P35)</f>
        <v>240000</v>
      </c>
      <c r="Q36" s="776"/>
      <c r="R36" s="868">
        <f>SUM(R24:R35)</f>
        <v>2493190</v>
      </c>
      <c r="S36" s="777"/>
      <c r="T36" s="868">
        <f>SUM(T24:T35)</f>
        <v>3930000</v>
      </c>
      <c r="U36" s="777"/>
      <c r="V36" s="868">
        <f>SUM(V24:V35)</f>
        <v>1395932</v>
      </c>
      <c r="W36" s="776"/>
      <c r="X36" s="868">
        <f>SUM(X24:X35)</f>
        <v>168000</v>
      </c>
      <c r="Y36" s="776"/>
      <c r="Z36" s="868">
        <f t="shared" ref="Z36:AA36" si="22">SUM(Z24:Z35)</f>
        <v>4760000</v>
      </c>
      <c r="AA36" s="868">
        <f t="shared" si="22"/>
        <v>440000</v>
      </c>
      <c r="AB36" s="776"/>
      <c r="AC36" s="886">
        <f t="shared" ref="AC36:AD36" si="23">SUM(AC24:AC35)</f>
        <v>0</v>
      </c>
      <c r="AD36" s="868">
        <f t="shared" si="23"/>
        <v>10693932</v>
      </c>
      <c r="AE36" s="868">
        <f>SUM(AE24:AE35)</f>
        <v>13187122</v>
      </c>
    </row>
    <row r="37" spans="1:31" s="756" customFormat="1" ht="76.5">
      <c r="A37" s="1738" t="s">
        <v>947</v>
      </c>
      <c r="B37" s="1738"/>
      <c r="C37" s="1738"/>
      <c r="D37" s="1738"/>
      <c r="E37" s="1738"/>
      <c r="F37" s="1738"/>
      <c r="G37" s="1738"/>
      <c r="H37" s="1738"/>
      <c r="I37" s="1738"/>
      <c r="J37" s="1738"/>
      <c r="K37" s="1738"/>
      <c r="L37" s="1738"/>
      <c r="M37" s="1738"/>
      <c r="N37" s="1738"/>
      <c r="O37" s="1738"/>
      <c r="P37" s="1738"/>
      <c r="Q37" s="1738"/>
      <c r="R37" s="1738"/>
      <c r="S37" s="1738"/>
      <c r="T37" s="1738"/>
      <c r="U37" s="1738"/>
      <c r="V37" s="1738"/>
      <c r="W37" s="1738"/>
      <c r="X37" s="1738"/>
      <c r="Y37" s="1738"/>
      <c r="Z37" s="1738"/>
      <c r="AA37" s="1738"/>
      <c r="AB37" s="1738"/>
      <c r="AC37" s="1738"/>
      <c r="AD37" s="1738"/>
      <c r="AE37" s="1738"/>
    </row>
    <row r="38" spans="1:31" s="756" customFormat="1" ht="409.5">
      <c r="A38" s="796">
        <v>27</v>
      </c>
      <c r="B38" s="126">
        <v>1</v>
      </c>
      <c r="C38" s="799" t="s">
        <v>948</v>
      </c>
      <c r="D38" s="798" t="s">
        <v>949</v>
      </c>
      <c r="E38" s="798" t="s">
        <v>950</v>
      </c>
      <c r="F38" s="772">
        <v>16</v>
      </c>
      <c r="G38" s="872"/>
      <c r="H38" s="773">
        <v>2</v>
      </c>
      <c r="I38" s="773">
        <v>11000</v>
      </c>
      <c r="J38" s="768">
        <f>(G38+H38)*I38*F38</f>
        <v>352000</v>
      </c>
      <c r="K38" s="773">
        <v>10000</v>
      </c>
      <c r="L38" s="767">
        <f t="shared" ref="L38:L39" si="24">K38*F38*G38</f>
        <v>0</v>
      </c>
      <c r="M38" s="769">
        <f>3605*2</f>
        <v>7210</v>
      </c>
      <c r="N38" s="769">
        <f t="shared" ref="N38:N44" si="25">M38*H38*F38</f>
        <v>230720</v>
      </c>
      <c r="O38" s="774"/>
      <c r="P38" s="774"/>
      <c r="Q38" s="774"/>
      <c r="R38" s="769">
        <f>SUM(J38+L38+N38+P38)+Q38</f>
        <v>582720</v>
      </c>
      <c r="S38" s="772"/>
      <c r="T38" s="773"/>
      <c r="U38" s="772"/>
      <c r="V38" s="773"/>
      <c r="W38" s="774"/>
      <c r="X38" s="774"/>
      <c r="Y38" s="774"/>
      <c r="Z38" s="774"/>
      <c r="AA38" s="774"/>
      <c r="AB38" s="774"/>
      <c r="AC38" s="778"/>
      <c r="AD38" s="773"/>
      <c r="AE38" s="773">
        <f>AD38+R38</f>
        <v>582720</v>
      </c>
    </row>
    <row r="39" spans="1:31" s="756" customFormat="1" ht="409.5">
      <c r="A39" s="796">
        <v>28</v>
      </c>
      <c r="B39" s="126">
        <v>2</v>
      </c>
      <c r="C39" s="799" t="s">
        <v>951</v>
      </c>
      <c r="D39" s="798" t="s">
        <v>936</v>
      </c>
      <c r="E39" s="798" t="s">
        <v>950</v>
      </c>
      <c r="F39" s="772">
        <v>8</v>
      </c>
      <c r="G39" s="872"/>
      <c r="H39" s="773">
        <v>2</v>
      </c>
      <c r="I39" s="773">
        <v>9000</v>
      </c>
      <c r="J39" s="768">
        <f>(G39+H39)*I39*F39</f>
        <v>144000</v>
      </c>
      <c r="K39" s="773">
        <v>8000</v>
      </c>
      <c r="L39" s="767">
        <f t="shared" si="24"/>
        <v>0</v>
      </c>
      <c r="M39" s="769">
        <f>3605*2</f>
        <v>7210</v>
      </c>
      <c r="N39" s="769">
        <f t="shared" si="25"/>
        <v>115360</v>
      </c>
      <c r="O39" s="774"/>
      <c r="P39" s="774"/>
      <c r="Q39" s="774"/>
      <c r="R39" s="769">
        <f>SUM(J39+L39+N39+P39)+Q39</f>
        <v>259360</v>
      </c>
      <c r="S39" s="772"/>
      <c r="T39" s="773"/>
      <c r="U39" s="772"/>
      <c r="V39" s="773"/>
      <c r="W39" s="774"/>
      <c r="X39" s="774"/>
      <c r="Y39" s="774"/>
      <c r="Z39" s="774"/>
      <c r="AA39" s="774"/>
      <c r="AB39" s="774"/>
      <c r="AC39" s="778"/>
      <c r="AD39" s="773"/>
      <c r="AE39" s="773">
        <f t="shared" ref="AE39:AE45" si="26">AD39+R39</f>
        <v>259360</v>
      </c>
    </row>
    <row r="40" spans="1:31" s="756" customFormat="1" ht="211.5">
      <c r="A40" s="796">
        <v>29</v>
      </c>
      <c r="B40" s="126">
        <v>3</v>
      </c>
      <c r="C40" s="799" t="s">
        <v>935</v>
      </c>
      <c r="D40" s="798" t="s">
        <v>952</v>
      </c>
      <c r="E40" s="798" t="s">
        <v>953</v>
      </c>
      <c r="F40" s="772">
        <v>7</v>
      </c>
      <c r="G40" s="872"/>
      <c r="H40" s="773">
        <v>2</v>
      </c>
      <c r="I40" s="773"/>
      <c r="J40" s="773"/>
      <c r="K40" s="773"/>
      <c r="L40" s="773"/>
      <c r="M40" s="773"/>
      <c r="N40" s="773"/>
      <c r="O40" s="774"/>
      <c r="P40" s="774"/>
      <c r="Q40" s="774"/>
      <c r="R40" s="773"/>
      <c r="S40" s="772">
        <v>43000</v>
      </c>
      <c r="T40" s="125">
        <f t="shared" ref="T40" si="27">S40*F40*(G40+H40)</f>
        <v>602000</v>
      </c>
      <c r="U40" s="774">
        <v>20000</v>
      </c>
      <c r="V40" s="767">
        <f>U40*F40*(G40+H40)</f>
        <v>280000</v>
      </c>
      <c r="W40" s="774">
        <v>15000</v>
      </c>
      <c r="X40" s="767">
        <f>W40*(G40+H40)</f>
        <v>30000</v>
      </c>
      <c r="Y40" s="774">
        <v>600000</v>
      </c>
      <c r="Z40" s="767">
        <f>Y40*(G40+H40)</f>
        <v>1200000</v>
      </c>
      <c r="AA40" s="761">
        <f t="shared" ref="AA40" si="28">55000*(G40+H40)</f>
        <v>110000</v>
      </c>
      <c r="AB40" s="774"/>
      <c r="AC40" s="778"/>
      <c r="AD40" s="762">
        <f>T40+V40+X40+Z40+AA40+AB40+AC40</f>
        <v>2222000</v>
      </c>
      <c r="AE40" s="773">
        <f t="shared" si="26"/>
        <v>2222000</v>
      </c>
    </row>
    <row r="41" spans="1:31" s="756" customFormat="1" ht="282">
      <c r="A41" s="796">
        <v>30</v>
      </c>
      <c r="B41" s="126">
        <v>4</v>
      </c>
      <c r="C41" s="797" t="s">
        <v>954</v>
      </c>
      <c r="D41" s="798" t="s">
        <v>933</v>
      </c>
      <c r="E41" s="798" t="s">
        <v>934</v>
      </c>
      <c r="F41" s="772">
        <v>3</v>
      </c>
      <c r="G41" s="872"/>
      <c r="H41" s="773">
        <v>1</v>
      </c>
      <c r="I41" s="773">
        <v>9000</v>
      </c>
      <c r="J41" s="768">
        <f>(G41+H41)*I41*F41</f>
        <v>27000</v>
      </c>
      <c r="K41" s="773">
        <v>8000</v>
      </c>
      <c r="L41" s="767">
        <f t="shared" ref="L41:L42" si="29">K41*F41*G41</f>
        <v>0</v>
      </c>
      <c r="M41" s="769">
        <f>3605*2</f>
        <v>7210</v>
      </c>
      <c r="N41" s="769">
        <f t="shared" si="25"/>
        <v>21630</v>
      </c>
      <c r="O41" s="774">
        <v>10000</v>
      </c>
      <c r="P41" s="129">
        <f t="shared" ref="P41:P42" si="30">O41*H41*2</f>
        <v>20000</v>
      </c>
      <c r="Q41" s="774"/>
      <c r="R41" s="769">
        <f t="shared" ref="R41:R42" si="31">SUM(J41+L41+N41+P41)+Q41</f>
        <v>68630</v>
      </c>
      <c r="S41" s="772"/>
      <c r="T41" s="773"/>
      <c r="U41" s="772"/>
      <c r="V41" s="773"/>
      <c r="W41" s="774"/>
      <c r="X41" s="774"/>
      <c r="Y41" s="774"/>
      <c r="Z41" s="774"/>
      <c r="AA41" s="774"/>
      <c r="AB41" s="774"/>
      <c r="AC41" s="778"/>
      <c r="AD41" s="773"/>
      <c r="AE41" s="773">
        <f t="shared" si="26"/>
        <v>68630</v>
      </c>
    </row>
    <row r="42" spans="1:31" s="756" customFormat="1" ht="409.5">
      <c r="A42" s="796">
        <v>31</v>
      </c>
      <c r="B42" s="126">
        <v>5</v>
      </c>
      <c r="C42" s="799" t="s">
        <v>955</v>
      </c>
      <c r="D42" s="798" t="s">
        <v>937</v>
      </c>
      <c r="E42" s="798" t="s">
        <v>950</v>
      </c>
      <c r="F42" s="772">
        <v>10</v>
      </c>
      <c r="G42" s="872"/>
      <c r="H42" s="773">
        <v>2</v>
      </c>
      <c r="I42" s="773">
        <v>9000</v>
      </c>
      <c r="J42" s="768">
        <f>(G42+H42)*I42*F42</f>
        <v>180000</v>
      </c>
      <c r="K42" s="773">
        <v>8000</v>
      </c>
      <c r="L42" s="767">
        <f t="shared" si="29"/>
        <v>0</v>
      </c>
      <c r="M42" s="769">
        <f>3605*2</f>
        <v>7210</v>
      </c>
      <c r="N42" s="769">
        <f t="shared" si="25"/>
        <v>144200</v>
      </c>
      <c r="O42" s="774">
        <v>10000</v>
      </c>
      <c r="P42" s="129">
        <f t="shared" si="30"/>
        <v>40000</v>
      </c>
      <c r="Q42" s="774"/>
      <c r="R42" s="769">
        <f t="shared" si="31"/>
        <v>364200</v>
      </c>
      <c r="S42" s="772"/>
      <c r="T42" s="773"/>
      <c r="U42" s="774"/>
      <c r="V42" s="773"/>
      <c r="W42" s="774"/>
      <c r="X42" s="774"/>
      <c r="Y42" s="774"/>
      <c r="Z42" s="774"/>
      <c r="AA42" s="774"/>
      <c r="AB42" s="774"/>
      <c r="AC42" s="778"/>
      <c r="AD42" s="773"/>
      <c r="AE42" s="773">
        <f t="shared" si="26"/>
        <v>364200</v>
      </c>
    </row>
    <row r="43" spans="1:31" s="756" customFormat="1" ht="211.5">
      <c r="A43" s="796">
        <v>32</v>
      </c>
      <c r="B43" s="126">
        <v>6</v>
      </c>
      <c r="C43" s="799" t="s">
        <v>935</v>
      </c>
      <c r="D43" s="798" t="s">
        <v>918</v>
      </c>
      <c r="E43" s="798" t="s">
        <v>353</v>
      </c>
      <c r="F43" s="772">
        <v>7</v>
      </c>
      <c r="G43" s="872"/>
      <c r="H43" s="773">
        <v>2</v>
      </c>
      <c r="I43" s="773"/>
      <c r="J43" s="773"/>
      <c r="K43" s="773"/>
      <c r="L43" s="773"/>
      <c r="M43" s="773"/>
      <c r="N43" s="773"/>
      <c r="O43" s="774"/>
      <c r="P43" s="774"/>
      <c r="Q43" s="774"/>
      <c r="R43" s="773"/>
      <c r="S43" s="772">
        <v>43000</v>
      </c>
      <c r="T43" s="767">
        <f t="shared" ref="T43:T45" si="32">S43*F43*(G43+H43)</f>
        <v>602000</v>
      </c>
      <c r="U43" s="774">
        <v>20000</v>
      </c>
      <c r="V43" s="767">
        <f>U43*F43*(G43+H43)</f>
        <v>280000</v>
      </c>
      <c r="W43" s="774">
        <v>15000</v>
      </c>
      <c r="X43" s="767">
        <f>W43*(G43+H43)</f>
        <v>30000</v>
      </c>
      <c r="Y43" s="774">
        <v>600000</v>
      </c>
      <c r="Z43" s="767">
        <f>Y43*(G43+H43)</f>
        <v>1200000</v>
      </c>
      <c r="AA43" s="761">
        <f t="shared" ref="AA43:AA45" si="33">55000*(G43+H43)</f>
        <v>110000</v>
      </c>
      <c r="AB43" s="774"/>
      <c r="AC43" s="778"/>
      <c r="AD43" s="762">
        <f>T43+V43+X43+Z43+AA43+AB43+AC43</f>
        <v>2222000</v>
      </c>
      <c r="AE43" s="773">
        <f t="shared" si="26"/>
        <v>2222000</v>
      </c>
    </row>
    <row r="44" spans="1:31" s="756" customFormat="1" ht="409.5">
      <c r="A44" s="796">
        <v>33</v>
      </c>
      <c r="B44" s="126">
        <v>7</v>
      </c>
      <c r="C44" s="799" t="s">
        <v>948</v>
      </c>
      <c r="D44" s="798" t="s">
        <v>919</v>
      </c>
      <c r="E44" s="798" t="s">
        <v>950</v>
      </c>
      <c r="F44" s="772">
        <v>10</v>
      </c>
      <c r="G44" s="872"/>
      <c r="H44" s="773">
        <v>2</v>
      </c>
      <c r="I44" s="773">
        <v>9000</v>
      </c>
      <c r="J44" s="768">
        <f>(G44+H44)*I44*F44</f>
        <v>180000</v>
      </c>
      <c r="K44" s="773">
        <v>8000</v>
      </c>
      <c r="L44" s="767">
        <f>K44*F44*G44</f>
        <v>0</v>
      </c>
      <c r="M44" s="769">
        <f>3605*2</f>
        <v>7210</v>
      </c>
      <c r="N44" s="769">
        <f t="shared" si="25"/>
        <v>144200</v>
      </c>
      <c r="O44" s="774">
        <v>10000</v>
      </c>
      <c r="P44" s="129">
        <f>O44*H44*2</f>
        <v>40000</v>
      </c>
      <c r="Q44" s="774"/>
      <c r="R44" s="769">
        <f>SUM(J44+L44+N44+P44)+Q44</f>
        <v>364200</v>
      </c>
      <c r="S44" s="772"/>
      <c r="T44" s="773"/>
      <c r="U44" s="774"/>
      <c r="V44" s="773"/>
      <c r="W44" s="774"/>
      <c r="X44" s="774"/>
      <c r="Y44" s="774"/>
      <c r="Z44" s="774"/>
      <c r="AA44" s="774"/>
      <c r="AB44" s="774"/>
      <c r="AC44" s="778"/>
      <c r="AD44" s="773"/>
      <c r="AE44" s="773">
        <f t="shared" si="26"/>
        <v>364200</v>
      </c>
    </row>
    <row r="45" spans="1:31" s="756" customFormat="1" ht="76.5">
      <c r="A45" s="796">
        <v>34</v>
      </c>
      <c r="B45" s="126">
        <v>8</v>
      </c>
      <c r="C45" s="799" t="s">
        <v>944</v>
      </c>
      <c r="D45" s="798" t="s">
        <v>946</v>
      </c>
      <c r="E45" s="798" t="s">
        <v>953</v>
      </c>
      <c r="F45" s="772">
        <v>7</v>
      </c>
      <c r="G45" s="872"/>
      <c r="H45" s="773">
        <v>2</v>
      </c>
      <c r="I45" s="773"/>
      <c r="J45" s="773"/>
      <c r="K45" s="773"/>
      <c r="L45" s="773"/>
      <c r="M45" s="773"/>
      <c r="N45" s="773"/>
      <c r="O45" s="774"/>
      <c r="P45" s="774"/>
      <c r="Q45" s="774"/>
      <c r="R45" s="773"/>
      <c r="S45" s="772">
        <v>43000</v>
      </c>
      <c r="T45" s="767">
        <f t="shared" si="32"/>
        <v>602000</v>
      </c>
      <c r="U45" s="774">
        <v>20000</v>
      </c>
      <c r="V45" s="767">
        <f>U45*F45*(G45+H45)</f>
        <v>280000</v>
      </c>
      <c r="W45" s="774">
        <v>15000</v>
      </c>
      <c r="X45" s="767">
        <f>W45*(G45+H45)</f>
        <v>30000</v>
      </c>
      <c r="Y45" s="774">
        <v>600000</v>
      </c>
      <c r="Z45" s="767">
        <f>Y45*(G45+H45)</f>
        <v>1200000</v>
      </c>
      <c r="AA45" s="761">
        <f t="shared" si="33"/>
        <v>110000</v>
      </c>
      <c r="AB45" s="774"/>
      <c r="AC45" s="778"/>
      <c r="AD45" s="762">
        <f>T45+V45+X45+Z45+AA45+AB45+AC45</f>
        <v>2222000</v>
      </c>
      <c r="AE45" s="773">
        <f t="shared" si="26"/>
        <v>2222000</v>
      </c>
    </row>
    <row r="46" spans="1:31" s="756" customFormat="1" ht="76.5" customHeight="1">
      <c r="A46" s="1743" t="s">
        <v>886</v>
      </c>
      <c r="B46" s="1743"/>
      <c r="C46" s="1743"/>
      <c r="D46" s="1743"/>
      <c r="E46" s="1743"/>
      <c r="F46" s="1743"/>
      <c r="G46" s="1743"/>
      <c r="H46" s="1743"/>
      <c r="I46" s="870"/>
      <c r="J46" s="870">
        <f>SUM(J38:J45)</f>
        <v>883000</v>
      </c>
      <c r="K46" s="870"/>
      <c r="L46" s="870">
        <f>SUM(L38:L45)</f>
        <v>0</v>
      </c>
      <c r="M46" s="870"/>
      <c r="N46" s="870">
        <f>SUM(N38:N45)</f>
        <v>656110</v>
      </c>
      <c r="O46" s="869"/>
      <c r="P46" s="870">
        <f>SUM(P38:P45)</f>
        <v>100000</v>
      </c>
      <c r="Q46" s="870">
        <f t="shared" ref="Q46:R46" si="34">SUM(Q38:Q45)</f>
        <v>0</v>
      </c>
      <c r="R46" s="870">
        <f t="shared" si="34"/>
        <v>1639110</v>
      </c>
      <c r="S46" s="869"/>
      <c r="T46" s="870">
        <f>SUM(T38:T45)</f>
        <v>1806000</v>
      </c>
      <c r="U46" s="869"/>
      <c r="V46" s="870">
        <f>SUM(V38:V45)</f>
        <v>840000</v>
      </c>
      <c r="W46" s="869"/>
      <c r="X46" s="870">
        <f>SUM(X38:X45)</f>
        <v>90000</v>
      </c>
      <c r="Y46" s="869"/>
      <c r="Z46" s="870">
        <f t="shared" ref="Z46:AA46" si="35">SUM(Z38:Z45)</f>
        <v>3600000</v>
      </c>
      <c r="AA46" s="870">
        <f t="shared" si="35"/>
        <v>330000</v>
      </c>
      <c r="AB46" s="870"/>
      <c r="AC46" s="885">
        <f t="shared" ref="AC46:AD46" si="36">SUM(AC38:AC45)</f>
        <v>0</v>
      </c>
      <c r="AD46" s="870">
        <f t="shared" si="36"/>
        <v>6666000</v>
      </c>
      <c r="AE46" s="870">
        <f>SUM(AE38:AE45)</f>
        <v>8305110</v>
      </c>
    </row>
    <row r="47" spans="1:31" s="756" customFormat="1" ht="76.5">
      <c r="A47" s="1736" t="s">
        <v>956</v>
      </c>
      <c r="B47" s="1736"/>
      <c r="C47" s="1736"/>
      <c r="D47" s="1736"/>
      <c r="E47" s="1736"/>
      <c r="F47" s="1736"/>
      <c r="G47" s="1736"/>
      <c r="H47" s="1736"/>
      <c r="I47" s="1736"/>
      <c r="J47" s="1736"/>
      <c r="K47" s="1736"/>
      <c r="L47" s="1736"/>
      <c r="M47" s="1736"/>
      <c r="N47" s="1736"/>
      <c r="O47" s="1736"/>
      <c r="P47" s="1736"/>
      <c r="Q47" s="1736"/>
      <c r="R47" s="1736"/>
      <c r="S47" s="1736"/>
      <c r="T47" s="1736"/>
      <c r="U47" s="1736"/>
      <c r="V47" s="1736"/>
      <c r="W47" s="1736"/>
      <c r="X47" s="1736"/>
      <c r="Y47" s="1736"/>
      <c r="Z47" s="1736"/>
      <c r="AA47" s="1736"/>
      <c r="AB47" s="1736"/>
      <c r="AC47" s="1736"/>
      <c r="AD47" s="1736"/>
      <c r="AE47" s="1736"/>
    </row>
    <row r="48" spans="1:31" s="756" customFormat="1" ht="141">
      <c r="A48" s="773">
        <v>35</v>
      </c>
      <c r="B48" s="800">
        <v>1</v>
      </c>
      <c r="C48" s="801" t="s">
        <v>957</v>
      </c>
      <c r="D48" s="798" t="s">
        <v>958</v>
      </c>
      <c r="E48" s="798" t="s">
        <v>959</v>
      </c>
      <c r="F48" s="772">
        <v>5</v>
      </c>
      <c r="G48" s="872"/>
      <c r="H48" s="773">
        <v>1</v>
      </c>
      <c r="I48" s="773"/>
      <c r="J48" s="773"/>
      <c r="K48" s="773"/>
      <c r="L48" s="773"/>
      <c r="M48" s="773"/>
      <c r="N48" s="773"/>
      <c r="O48" s="774"/>
      <c r="P48" s="774"/>
      <c r="Q48" s="774"/>
      <c r="R48" s="773"/>
      <c r="S48" s="773">
        <v>48000</v>
      </c>
      <c r="T48" s="767">
        <f t="shared" ref="T48:T51" si="37">S48*F48*(G48+H48)</f>
        <v>240000</v>
      </c>
      <c r="U48" s="772">
        <v>25000</v>
      </c>
      <c r="V48" s="767">
        <f t="shared" ref="V48:V51" si="38">U48*F48*(G48+H48)</f>
        <v>125000</v>
      </c>
      <c r="W48" s="774">
        <v>20000</v>
      </c>
      <c r="X48" s="767">
        <f>W48*(G48+H48)</f>
        <v>20000</v>
      </c>
      <c r="Y48" s="774">
        <v>600000</v>
      </c>
      <c r="Z48" s="767">
        <f>Y48*(G48+H48)</f>
        <v>600000</v>
      </c>
      <c r="AA48" s="774"/>
      <c r="AB48" s="774"/>
      <c r="AC48" s="778"/>
      <c r="AD48" s="762">
        <f t="shared" ref="AD48:AD51" si="39">T48+V48+X48+Z48+AA48+AB48+AC48</f>
        <v>985000</v>
      </c>
      <c r="AE48" s="773">
        <f t="shared" ref="AE48:AE54" si="40">AD48+R48</f>
        <v>985000</v>
      </c>
    </row>
    <row r="49" spans="1:31" s="756" customFormat="1" ht="141">
      <c r="A49" s="773">
        <v>36</v>
      </c>
      <c r="B49" s="800">
        <v>2</v>
      </c>
      <c r="C49" s="801" t="s">
        <v>960</v>
      </c>
      <c r="D49" s="798" t="s">
        <v>958</v>
      </c>
      <c r="E49" s="798" t="s">
        <v>961</v>
      </c>
      <c r="F49" s="772">
        <v>5</v>
      </c>
      <c r="G49" s="872"/>
      <c r="H49" s="773">
        <v>1</v>
      </c>
      <c r="I49" s="773"/>
      <c r="J49" s="773"/>
      <c r="K49" s="773"/>
      <c r="L49" s="773"/>
      <c r="M49" s="773"/>
      <c r="N49" s="773"/>
      <c r="O49" s="774"/>
      <c r="P49" s="774"/>
      <c r="Q49" s="774"/>
      <c r="R49" s="773"/>
      <c r="S49" s="773">
        <v>48000</v>
      </c>
      <c r="T49" s="767">
        <f t="shared" si="37"/>
        <v>240000</v>
      </c>
      <c r="U49" s="772">
        <v>25000</v>
      </c>
      <c r="V49" s="767">
        <f t="shared" si="38"/>
        <v>125000</v>
      </c>
      <c r="W49" s="774"/>
      <c r="X49" s="774"/>
      <c r="Y49" s="774"/>
      <c r="Z49" s="774"/>
      <c r="AA49" s="774"/>
      <c r="AB49" s="774"/>
      <c r="AC49" s="778"/>
      <c r="AD49" s="762">
        <f t="shared" si="39"/>
        <v>365000</v>
      </c>
      <c r="AE49" s="773">
        <f t="shared" si="40"/>
        <v>365000</v>
      </c>
    </row>
    <row r="50" spans="1:31" s="756" customFormat="1" ht="352.5">
      <c r="A50" s="773">
        <v>37</v>
      </c>
      <c r="B50" s="800">
        <v>3</v>
      </c>
      <c r="C50" s="801" t="s">
        <v>962</v>
      </c>
      <c r="D50" s="798" t="s">
        <v>936</v>
      </c>
      <c r="E50" s="798" t="s">
        <v>963</v>
      </c>
      <c r="F50" s="772">
        <v>12</v>
      </c>
      <c r="G50" s="872"/>
      <c r="H50" s="773">
        <v>1</v>
      </c>
      <c r="I50" s="773"/>
      <c r="J50" s="773"/>
      <c r="K50" s="773"/>
      <c r="L50" s="773"/>
      <c r="M50" s="773"/>
      <c r="N50" s="773"/>
      <c r="O50" s="774"/>
      <c r="P50" s="774"/>
      <c r="Q50" s="774"/>
      <c r="R50" s="773"/>
      <c r="S50" s="773">
        <v>48000</v>
      </c>
      <c r="T50" s="767">
        <f t="shared" si="37"/>
        <v>576000</v>
      </c>
      <c r="U50" s="772">
        <v>25000</v>
      </c>
      <c r="V50" s="767">
        <f t="shared" si="38"/>
        <v>300000</v>
      </c>
      <c r="W50" s="774">
        <v>15000</v>
      </c>
      <c r="X50" s="767">
        <f>W50*(G50+H50)</f>
        <v>15000</v>
      </c>
      <c r="Y50" s="774">
        <v>600000</v>
      </c>
      <c r="Z50" s="767">
        <f t="shared" ref="Z50:Z51" si="41">Y50*(G50+H50)</f>
        <v>600000</v>
      </c>
      <c r="AA50" s="761">
        <f t="shared" ref="AA50:AA51" si="42">55000*(G50+H50)</f>
        <v>55000</v>
      </c>
      <c r="AB50" s="774"/>
      <c r="AC50" s="778"/>
      <c r="AD50" s="762">
        <f t="shared" si="39"/>
        <v>1546000</v>
      </c>
      <c r="AE50" s="773">
        <f t="shared" si="40"/>
        <v>1546000</v>
      </c>
    </row>
    <row r="51" spans="1:31" s="756" customFormat="1" ht="141">
      <c r="A51" s="773">
        <v>38</v>
      </c>
      <c r="B51" s="800">
        <v>4</v>
      </c>
      <c r="C51" s="801" t="s">
        <v>964</v>
      </c>
      <c r="D51" s="798" t="s">
        <v>937</v>
      </c>
      <c r="E51" s="798" t="s">
        <v>965</v>
      </c>
      <c r="F51" s="772">
        <v>5</v>
      </c>
      <c r="G51" s="872"/>
      <c r="H51" s="773">
        <v>1</v>
      </c>
      <c r="I51" s="773"/>
      <c r="J51" s="773"/>
      <c r="K51" s="773"/>
      <c r="L51" s="773"/>
      <c r="M51" s="773"/>
      <c r="N51" s="773"/>
      <c r="O51" s="774"/>
      <c r="P51" s="774"/>
      <c r="Q51" s="774"/>
      <c r="R51" s="773"/>
      <c r="S51" s="773">
        <v>46000</v>
      </c>
      <c r="T51" s="767">
        <f t="shared" si="37"/>
        <v>230000</v>
      </c>
      <c r="U51" s="772">
        <v>25000</v>
      </c>
      <c r="V51" s="767">
        <f t="shared" si="38"/>
        <v>125000</v>
      </c>
      <c r="W51" s="774">
        <v>20000</v>
      </c>
      <c r="X51" s="767">
        <f>W51*(G51+H51)</f>
        <v>20000</v>
      </c>
      <c r="Y51" s="774">
        <v>400000</v>
      </c>
      <c r="Z51" s="767">
        <f t="shared" si="41"/>
        <v>400000</v>
      </c>
      <c r="AA51" s="761">
        <f t="shared" si="42"/>
        <v>55000</v>
      </c>
      <c r="AB51" s="774"/>
      <c r="AC51" s="778"/>
      <c r="AD51" s="762">
        <f t="shared" si="39"/>
        <v>830000</v>
      </c>
      <c r="AE51" s="773">
        <f t="shared" si="40"/>
        <v>830000</v>
      </c>
    </row>
    <row r="52" spans="1:31" s="756" customFormat="1" ht="409.6" customHeight="1">
      <c r="A52" s="773">
        <v>39</v>
      </c>
      <c r="B52" s="802">
        <v>5</v>
      </c>
      <c r="C52" s="799" t="s">
        <v>966</v>
      </c>
      <c r="D52" s="798" t="s">
        <v>941</v>
      </c>
      <c r="E52" s="798" t="s">
        <v>967</v>
      </c>
      <c r="F52" s="772">
        <v>14</v>
      </c>
      <c r="G52" s="872"/>
      <c r="H52" s="773">
        <v>1</v>
      </c>
      <c r="I52" s="773">
        <v>7050</v>
      </c>
      <c r="J52" s="768">
        <f t="shared" ref="J52:J53" si="43">(G52+H52)*I52*F52</f>
        <v>98700</v>
      </c>
      <c r="K52" s="773">
        <v>7985</v>
      </c>
      <c r="L52" s="767">
        <f t="shared" ref="L52:L53" si="44">K52*F52*G52</f>
        <v>0</v>
      </c>
      <c r="M52" s="769">
        <f>3605*2</f>
        <v>7210</v>
      </c>
      <c r="N52" s="769">
        <f t="shared" ref="N52:N53" si="45">M52*H52*F52</f>
        <v>100940</v>
      </c>
      <c r="O52" s="774">
        <v>10000</v>
      </c>
      <c r="P52" s="129">
        <f t="shared" ref="P52:P53" si="46">O52*H52*2</f>
        <v>20000</v>
      </c>
      <c r="Q52" s="774"/>
      <c r="R52" s="769">
        <f t="shared" ref="R52:R53" si="47">SUM(J52+L52+N52+P52)+Q52</f>
        <v>219640</v>
      </c>
      <c r="S52" s="773"/>
      <c r="T52" s="773"/>
      <c r="U52" s="772"/>
      <c r="V52" s="773"/>
      <c r="W52" s="774"/>
      <c r="X52" s="774"/>
      <c r="Y52" s="774"/>
      <c r="Z52" s="774"/>
      <c r="AA52" s="774"/>
      <c r="AB52" s="774"/>
      <c r="AC52" s="778"/>
      <c r="AD52" s="773"/>
      <c r="AE52" s="773">
        <f t="shared" si="40"/>
        <v>219640</v>
      </c>
    </row>
    <row r="53" spans="1:31" s="756" customFormat="1" ht="409.6" customHeight="1">
      <c r="A53" s="773">
        <v>40</v>
      </c>
      <c r="B53" s="800">
        <v>6</v>
      </c>
      <c r="C53" s="799" t="s">
        <v>968</v>
      </c>
      <c r="D53" s="798" t="s">
        <v>941</v>
      </c>
      <c r="E53" s="798" t="s">
        <v>967</v>
      </c>
      <c r="F53" s="772">
        <v>14</v>
      </c>
      <c r="G53" s="872"/>
      <c r="H53" s="773">
        <v>1</v>
      </c>
      <c r="I53" s="773">
        <v>7050</v>
      </c>
      <c r="J53" s="768">
        <f t="shared" si="43"/>
        <v>98700</v>
      </c>
      <c r="K53" s="773">
        <v>7985</v>
      </c>
      <c r="L53" s="767">
        <f t="shared" si="44"/>
        <v>0</v>
      </c>
      <c r="M53" s="769">
        <f>3605*2</f>
        <v>7210</v>
      </c>
      <c r="N53" s="769">
        <f t="shared" si="45"/>
        <v>100940</v>
      </c>
      <c r="O53" s="774">
        <v>10000</v>
      </c>
      <c r="P53" s="129">
        <f t="shared" si="46"/>
        <v>20000</v>
      </c>
      <c r="Q53" s="774"/>
      <c r="R53" s="769">
        <f t="shared" si="47"/>
        <v>219640</v>
      </c>
      <c r="S53" s="773"/>
      <c r="T53" s="773"/>
      <c r="U53" s="772"/>
      <c r="V53" s="773"/>
      <c r="W53" s="774"/>
      <c r="X53" s="774"/>
      <c r="Y53" s="774"/>
      <c r="Z53" s="774"/>
      <c r="AA53" s="774"/>
      <c r="AB53" s="774"/>
      <c r="AC53" s="778"/>
      <c r="AD53" s="773"/>
      <c r="AE53" s="773">
        <f t="shared" si="40"/>
        <v>219640</v>
      </c>
    </row>
    <row r="54" spans="1:31" s="756" customFormat="1" ht="141">
      <c r="A54" s="773">
        <v>41</v>
      </c>
      <c r="B54" s="802">
        <v>7</v>
      </c>
      <c r="C54" s="804" t="s">
        <v>909</v>
      </c>
      <c r="D54" s="761" t="s">
        <v>969</v>
      </c>
      <c r="E54" s="761" t="s">
        <v>970</v>
      </c>
      <c r="F54" s="779">
        <v>6</v>
      </c>
      <c r="G54" s="872"/>
      <c r="H54" s="762">
        <v>1</v>
      </c>
      <c r="I54" s="762"/>
      <c r="J54" s="762"/>
      <c r="K54" s="762"/>
      <c r="L54" s="762"/>
      <c r="M54" s="762"/>
      <c r="N54" s="762"/>
      <c r="O54" s="778"/>
      <c r="P54" s="778"/>
      <c r="Q54" s="778"/>
      <c r="R54" s="762"/>
      <c r="S54" s="762">
        <v>46830</v>
      </c>
      <c r="T54" s="767">
        <f t="shared" ref="T54" si="48">S54*F54*(G54+H54)</f>
        <v>280980</v>
      </c>
      <c r="U54" s="779">
        <v>37464</v>
      </c>
      <c r="V54" s="767">
        <f>U54*F54*(G54+H54)</f>
        <v>224784</v>
      </c>
      <c r="W54" s="778">
        <v>20000</v>
      </c>
      <c r="X54" s="767">
        <f>W54*(G54+H54)</f>
        <v>20000</v>
      </c>
      <c r="Y54" s="778">
        <v>811000</v>
      </c>
      <c r="Z54" s="767">
        <f>Y54*(G54+H54)</f>
        <v>811000</v>
      </c>
      <c r="AA54" s="761">
        <f t="shared" ref="AA54" si="49">55000*(G54+H54)</f>
        <v>55000</v>
      </c>
      <c r="AB54" s="778"/>
      <c r="AC54" s="778"/>
      <c r="AD54" s="762">
        <f>T54+V54+X54+Z54+AA54+AB54+AC54</f>
        <v>1391764</v>
      </c>
      <c r="AE54" s="773">
        <f t="shared" si="40"/>
        <v>1391764</v>
      </c>
    </row>
    <row r="55" spans="1:31" s="756" customFormat="1" ht="75.75" customHeight="1">
      <c r="A55" s="1737" t="s">
        <v>886</v>
      </c>
      <c r="B55" s="1737"/>
      <c r="C55" s="1737"/>
      <c r="D55" s="1737"/>
      <c r="E55" s="1737"/>
      <c r="F55" s="1737"/>
      <c r="G55" s="1737"/>
      <c r="H55" s="1737"/>
      <c r="I55" s="870"/>
      <c r="J55" s="870">
        <f>SUM(J48:J54)</f>
        <v>197400</v>
      </c>
      <c r="K55" s="870"/>
      <c r="L55" s="870">
        <f>SUM(L48:L54)</f>
        <v>0</v>
      </c>
      <c r="M55" s="870"/>
      <c r="N55" s="870">
        <f>SUM(N48:N54)</f>
        <v>201880</v>
      </c>
      <c r="O55" s="869"/>
      <c r="P55" s="870">
        <f>SUM(P48:P54)</f>
        <v>40000</v>
      </c>
      <c r="Q55" s="869"/>
      <c r="R55" s="870">
        <f>SUM(R48:R54)</f>
        <v>439280</v>
      </c>
      <c r="S55" s="869"/>
      <c r="T55" s="870">
        <f>SUM(T48:T54)</f>
        <v>1566980</v>
      </c>
      <c r="U55" s="869"/>
      <c r="V55" s="870">
        <f>SUM(V48:V54)</f>
        <v>899784</v>
      </c>
      <c r="W55" s="869"/>
      <c r="X55" s="870">
        <f>SUM(X48:X54)</f>
        <v>75000</v>
      </c>
      <c r="Y55" s="869"/>
      <c r="Z55" s="870">
        <f>SUM(Z48:Z54)</f>
        <v>2411000</v>
      </c>
      <c r="AA55" s="870">
        <f>SUM(AA48:AA54)</f>
        <v>165000</v>
      </c>
      <c r="AB55" s="870"/>
      <c r="AC55" s="885">
        <f t="shared" ref="AC55:AE55" si="50">SUM(AC48:AC54)</f>
        <v>0</v>
      </c>
      <c r="AD55" s="870">
        <f t="shared" si="50"/>
        <v>5117764</v>
      </c>
      <c r="AE55" s="870">
        <f t="shared" si="50"/>
        <v>5557044</v>
      </c>
    </row>
    <row r="56" spans="1:31" s="756" customFormat="1" ht="76.5">
      <c r="A56" s="1736" t="s">
        <v>971</v>
      </c>
      <c r="B56" s="1736"/>
      <c r="C56" s="1736"/>
      <c r="D56" s="1736"/>
      <c r="E56" s="1736"/>
      <c r="F56" s="1736"/>
      <c r="G56" s="1736"/>
      <c r="H56" s="1736"/>
      <c r="I56" s="1736"/>
      <c r="J56" s="1736"/>
      <c r="K56" s="1736"/>
      <c r="L56" s="1736"/>
      <c r="M56" s="1736"/>
      <c r="N56" s="1736"/>
      <c r="O56" s="1736"/>
      <c r="P56" s="1736"/>
      <c r="Q56" s="1736"/>
      <c r="R56" s="1736"/>
      <c r="S56" s="1736"/>
      <c r="T56" s="1736"/>
      <c r="U56" s="1736"/>
      <c r="V56" s="1736"/>
      <c r="W56" s="1736"/>
      <c r="X56" s="1736"/>
      <c r="Y56" s="1736"/>
      <c r="Z56" s="1736"/>
      <c r="AA56" s="1736"/>
      <c r="AB56" s="1736"/>
      <c r="AC56" s="1736"/>
      <c r="AD56" s="1736"/>
      <c r="AE56" s="1736"/>
    </row>
    <row r="57" spans="1:31" s="756" customFormat="1" ht="141">
      <c r="A57" s="129">
        <v>42</v>
      </c>
      <c r="B57" s="126">
        <v>1</v>
      </c>
      <c r="C57" s="803" t="s">
        <v>972</v>
      </c>
      <c r="D57" s="773" t="s">
        <v>973</v>
      </c>
      <c r="E57" s="773" t="s">
        <v>974</v>
      </c>
      <c r="F57" s="772">
        <v>5</v>
      </c>
      <c r="G57" s="872"/>
      <c r="H57" s="773">
        <v>2</v>
      </c>
      <c r="I57" s="773"/>
      <c r="J57" s="773"/>
      <c r="K57" s="773"/>
      <c r="L57" s="773"/>
      <c r="M57" s="773"/>
      <c r="N57" s="773"/>
      <c r="O57" s="774"/>
      <c r="P57" s="774"/>
      <c r="Q57" s="774"/>
      <c r="R57" s="773"/>
      <c r="S57" s="773">
        <v>30000</v>
      </c>
      <c r="T57" s="767">
        <f t="shared" ref="T57:T59" si="51">S57*F57*(G57+H57)</f>
        <v>300000</v>
      </c>
      <c r="U57" s="772">
        <v>28000</v>
      </c>
      <c r="V57" s="767">
        <f t="shared" ref="V57:V59" si="52">U57*F57*(G57+H57)</f>
        <v>280000</v>
      </c>
      <c r="W57" s="774">
        <v>15000</v>
      </c>
      <c r="X57" s="767">
        <f t="shared" ref="X57:X59" si="53">W57*(G57+H57)</f>
        <v>30000</v>
      </c>
      <c r="Y57" s="774">
        <v>520000</v>
      </c>
      <c r="Z57" s="767">
        <f t="shared" ref="Z57:Z59" si="54">Y57*(G57+H57)</f>
        <v>1040000</v>
      </c>
      <c r="AA57" s="774"/>
      <c r="AB57" s="774"/>
      <c r="AC57" s="778"/>
      <c r="AD57" s="762">
        <f>T57+V57+X57+Z57+AA57+AB57+AC57</f>
        <v>1650000</v>
      </c>
      <c r="AE57" s="762">
        <f>AD57+R57</f>
        <v>1650000</v>
      </c>
    </row>
    <row r="58" spans="1:31" s="756" customFormat="1" ht="141">
      <c r="A58" s="773">
        <v>43</v>
      </c>
      <c r="B58" s="802">
        <v>2</v>
      </c>
      <c r="C58" s="804" t="s">
        <v>975</v>
      </c>
      <c r="D58" s="761" t="s">
        <v>926</v>
      </c>
      <c r="E58" s="761" t="s">
        <v>976</v>
      </c>
      <c r="F58" s="779">
        <v>8</v>
      </c>
      <c r="G58" s="872"/>
      <c r="H58" s="762">
        <v>2</v>
      </c>
      <c r="I58" s="762"/>
      <c r="J58" s="762"/>
      <c r="K58" s="762"/>
      <c r="L58" s="762"/>
      <c r="M58" s="762"/>
      <c r="N58" s="762"/>
      <c r="O58" s="778"/>
      <c r="P58" s="778"/>
      <c r="Q58" s="778"/>
      <c r="R58" s="762"/>
      <c r="S58" s="762">
        <v>48000</v>
      </c>
      <c r="T58" s="767">
        <f t="shared" si="51"/>
        <v>768000</v>
      </c>
      <c r="U58" s="779">
        <v>23415</v>
      </c>
      <c r="V58" s="767">
        <f t="shared" si="52"/>
        <v>374640</v>
      </c>
      <c r="W58" s="778">
        <v>20000</v>
      </c>
      <c r="X58" s="767">
        <f t="shared" si="53"/>
        <v>40000</v>
      </c>
      <c r="Y58" s="778">
        <v>835000</v>
      </c>
      <c r="Z58" s="767">
        <f t="shared" si="54"/>
        <v>1670000</v>
      </c>
      <c r="AA58" s="761">
        <f t="shared" ref="AA58:AA59" si="55">55000*(G58+H58)</f>
        <v>110000</v>
      </c>
      <c r="AB58" s="778"/>
      <c r="AC58" s="778"/>
      <c r="AD58" s="762">
        <f>T58+V58+X58+Z58+AA58+AB58+AC58</f>
        <v>2962640</v>
      </c>
      <c r="AE58" s="762">
        <f t="shared" ref="AE58:AE59" si="56">AD58+R58</f>
        <v>2962640</v>
      </c>
    </row>
    <row r="59" spans="1:31" s="756" customFormat="1" ht="141">
      <c r="A59" s="773">
        <v>44</v>
      </c>
      <c r="B59" s="802">
        <v>3</v>
      </c>
      <c r="C59" s="804" t="s">
        <v>977</v>
      </c>
      <c r="D59" s="761" t="s">
        <v>969</v>
      </c>
      <c r="E59" s="761" t="s">
        <v>970</v>
      </c>
      <c r="F59" s="779">
        <v>6</v>
      </c>
      <c r="G59" s="872"/>
      <c r="H59" s="762">
        <v>2</v>
      </c>
      <c r="I59" s="762"/>
      <c r="J59" s="762"/>
      <c r="K59" s="762"/>
      <c r="L59" s="762"/>
      <c r="M59" s="762"/>
      <c r="N59" s="762"/>
      <c r="O59" s="778"/>
      <c r="P59" s="778"/>
      <c r="Q59" s="778"/>
      <c r="R59" s="762"/>
      <c r="S59" s="762">
        <v>46830</v>
      </c>
      <c r="T59" s="767">
        <f t="shared" si="51"/>
        <v>561960</v>
      </c>
      <c r="U59" s="779">
        <v>37464</v>
      </c>
      <c r="V59" s="767">
        <f t="shared" si="52"/>
        <v>449568</v>
      </c>
      <c r="W59" s="778">
        <v>20000</v>
      </c>
      <c r="X59" s="767">
        <f t="shared" si="53"/>
        <v>40000</v>
      </c>
      <c r="Y59" s="778">
        <v>811000</v>
      </c>
      <c r="Z59" s="767">
        <f t="shared" si="54"/>
        <v>1622000</v>
      </c>
      <c r="AA59" s="761">
        <f t="shared" si="55"/>
        <v>110000</v>
      </c>
      <c r="AB59" s="778"/>
      <c r="AC59" s="778"/>
      <c r="AD59" s="762">
        <f>T59+V59+X59+Z59+AA59+AB59+AC59</f>
        <v>2783528</v>
      </c>
      <c r="AE59" s="762">
        <f t="shared" si="56"/>
        <v>2783528</v>
      </c>
    </row>
    <row r="60" spans="1:31" s="756" customFormat="1" ht="84.75" customHeight="1">
      <c r="A60" s="1737" t="s">
        <v>886</v>
      </c>
      <c r="B60" s="1737"/>
      <c r="C60" s="1737"/>
      <c r="D60" s="1737"/>
      <c r="E60" s="1737"/>
      <c r="F60" s="1737"/>
      <c r="G60" s="1737"/>
      <c r="H60" s="1737"/>
      <c r="I60" s="780"/>
      <c r="J60" s="780"/>
      <c r="K60" s="780"/>
      <c r="L60" s="780"/>
      <c r="M60" s="780"/>
      <c r="N60" s="780"/>
      <c r="O60" s="780"/>
      <c r="P60" s="780"/>
      <c r="Q60" s="780"/>
      <c r="R60" s="780"/>
      <c r="S60" s="780"/>
      <c r="T60" s="780">
        <f>SUM(T57:T59)</f>
        <v>1629960</v>
      </c>
      <c r="U60" s="780"/>
      <c r="V60" s="780">
        <f>SUM(V57:V59)</f>
        <v>1104208</v>
      </c>
      <c r="W60" s="780"/>
      <c r="X60" s="780">
        <f>SUM(X57:X59)</f>
        <v>110000</v>
      </c>
      <c r="Y60" s="780"/>
      <c r="Z60" s="780">
        <f>SUM(Z57:Z59)</f>
        <v>4332000</v>
      </c>
      <c r="AA60" s="780">
        <f>SUM(AA57:AA59)</f>
        <v>220000</v>
      </c>
      <c r="AB60" s="780"/>
      <c r="AC60" s="835">
        <f t="shared" ref="AC60" si="57">SUM(AC57:AC59)</f>
        <v>0</v>
      </c>
      <c r="AD60" s="780">
        <f>SUM(AD57:AD59)</f>
        <v>7396168</v>
      </c>
      <c r="AE60" s="780">
        <f>SUM(AE57:AE59)</f>
        <v>7396168</v>
      </c>
    </row>
    <row r="61" spans="1:31" s="756" customFormat="1" ht="76.5">
      <c r="A61" s="1738" t="s">
        <v>978</v>
      </c>
      <c r="B61" s="1738"/>
      <c r="C61" s="1738"/>
      <c r="D61" s="1738"/>
      <c r="E61" s="1738"/>
      <c r="F61" s="1738"/>
      <c r="G61" s="1738"/>
      <c r="H61" s="1738"/>
      <c r="I61" s="1738"/>
      <c r="J61" s="1738"/>
      <c r="K61" s="1738"/>
      <c r="L61" s="1738"/>
      <c r="M61" s="1738"/>
      <c r="N61" s="1738"/>
      <c r="O61" s="1738"/>
      <c r="P61" s="1738"/>
      <c r="Q61" s="1738"/>
      <c r="R61" s="1738"/>
      <c r="S61" s="1738"/>
      <c r="T61" s="1738"/>
      <c r="U61" s="1738"/>
      <c r="V61" s="1738"/>
      <c r="W61" s="1738"/>
      <c r="X61" s="1738"/>
      <c r="Y61" s="1738"/>
      <c r="Z61" s="1738"/>
      <c r="AA61" s="1738"/>
      <c r="AB61" s="1738"/>
      <c r="AC61" s="1738"/>
      <c r="AD61" s="1738"/>
      <c r="AE61" s="1738"/>
    </row>
    <row r="62" spans="1:31" s="756" customFormat="1" ht="76.5">
      <c r="A62" s="129">
        <v>45</v>
      </c>
      <c r="B62" s="129">
        <v>1</v>
      </c>
      <c r="C62" s="805" t="s">
        <v>979</v>
      </c>
      <c r="D62" s="806" t="s">
        <v>980</v>
      </c>
      <c r="E62" s="125" t="s">
        <v>981</v>
      </c>
      <c r="F62" s="808">
        <v>7</v>
      </c>
      <c r="G62" s="871"/>
      <c r="H62" s="808">
        <v>2</v>
      </c>
      <c r="I62" s="125"/>
      <c r="J62" s="126"/>
      <c r="K62" s="125"/>
      <c r="L62" s="125"/>
      <c r="M62" s="129"/>
      <c r="N62" s="129"/>
      <c r="O62" s="129"/>
      <c r="P62" s="129"/>
      <c r="Q62" s="129"/>
      <c r="R62" s="129"/>
      <c r="S62" s="798">
        <v>45000</v>
      </c>
      <c r="T62" s="767">
        <f t="shared" ref="T62:T63" si="58">S62*F62*(G62+H62)</f>
        <v>630000</v>
      </c>
      <c r="U62" s="798">
        <v>30000</v>
      </c>
      <c r="V62" s="767">
        <f t="shared" ref="V62:V63" si="59">U62*F62*(G62+H62)</f>
        <v>420000</v>
      </c>
      <c r="W62" s="798">
        <v>3500</v>
      </c>
      <c r="X62" s="767">
        <f t="shared" ref="X62:X63" si="60">W62*(G62+H62)</f>
        <v>7000</v>
      </c>
      <c r="Y62" s="798">
        <v>250000</v>
      </c>
      <c r="Z62" s="767">
        <f t="shared" ref="Z62:Z63" si="61">Y62*(G62+H62)</f>
        <v>500000</v>
      </c>
      <c r="AA62" s="798"/>
      <c r="AB62" s="798"/>
      <c r="AC62" s="761"/>
      <c r="AD62" s="762">
        <f t="shared" ref="AD62:AD63" si="62">T62+V62+X62+Z62+AA62+AB62+AC62</f>
        <v>1557000</v>
      </c>
      <c r="AE62" s="821">
        <f t="shared" ref="AE62:AE67" si="63">R62+AD62</f>
        <v>1557000</v>
      </c>
    </row>
    <row r="63" spans="1:31" s="756" customFormat="1" ht="247.5" customHeight="1">
      <c r="A63" s="796">
        <v>46</v>
      </c>
      <c r="B63" s="126">
        <v>2</v>
      </c>
      <c r="C63" s="805" t="s">
        <v>1026</v>
      </c>
      <c r="D63" s="806" t="s">
        <v>982</v>
      </c>
      <c r="E63" s="125" t="s">
        <v>983</v>
      </c>
      <c r="F63" s="125">
        <v>12</v>
      </c>
      <c r="G63" s="871"/>
      <c r="H63" s="126">
        <v>2</v>
      </c>
      <c r="I63" s="125"/>
      <c r="J63" s="126"/>
      <c r="K63" s="125"/>
      <c r="L63" s="125"/>
      <c r="M63" s="129"/>
      <c r="N63" s="129"/>
      <c r="O63" s="129"/>
      <c r="P63" s="129"/>
      <c r="Q63" s="129"/>
      <c r="R63" s="129"/>
      <c r="S63" s="798">
        <v>45000</v>
      </c>
      <c r="T63" s="767">
        <f t="shared" si="58"/>
        <v>1080000</v>
      </c>
      <c r="U63" s="798">
        <v>30000</v>
      </c>
      <c r="V63" s="767">
        <f t="shared" si="59"/>
        <v>720000</v>
      </c>
      <c r="W63" s="798">
        <v>2000</v>
      </c>
      <c r="X63" s="767">
        <f t="shared" si="60"/>
        <v>4000</v>
      </c>
      <c r="Y63" s="798">
        <v>250000</v>
      </c>
      <c r="Z63" s="767">
        <f t="shared" si="61"/>
        <v>500000</v>
      </c>
      <c r="AA63" s="798"/>
      <c r="AB63" s="798"/>
      <c r="AC63" s="761"/>
      <c r="AD63" s="762">
        <f t="shared" si="62"/>
        <v>2304000</v>
      </c>
      <c r="AE63" s="821">
        <f t="shared" si="63"/>
        <v>2304000</v>
      </c>
    </row>
    <row r="64" spans="1:31" s="756" customFormat="1" ht="352.5">
      <c r="A64" s="796">
        <v>47</v>
      </c>
      <c r="B64" s="126">
        <v>3</v>
      </c>
      <c r="C64" s="805" t="s">
        <v>984</v>
      </c>
      <c r="D64" s="806" t="s">
        <v>985</v>
      </c>
      <c r="E64" s="125" t="s">
        <v>986</v>
      </c>
      <c r="F64" s="125">
        <v>15</v>
      </c>
      <c r="G64" s="871"/>
      <c r="H64" s="126">
        <v>2</v>
      </c>
      <c r="I64" s="125">
        <v>9000</v>
      </c>
      <c r="J64" s="768">
        <f>(G64+H64)*I64*F64</f>
        <v>270000</v>
      </c>
      <c r="K64" s="125">
        <f>2.5*3450</f>
        <v>8625</v>
      </c>
      <c r="L64" s="767">
        <f>K64*F64*G64</f>
        <v>0</v>
      </c>
      <c r="M64" s="769">
        <f>3605*2</f>
        <v>7210</v>
      </c>
      <c r="N64" s="769">
        <f t="shared" ref="N64" si="64">M64*H64*F64</f>
        <v>216300</v>
      </c>
      <c r="O64" s="129">
        <v>15000</v>
      </c>
      <c r="P64" s="129">
        <f t="shared" ref="P64" si="65">O64*H64*2</f>
        <v>60000</v>
      </c>
      <c r="Q64" s="129"/>
      <c r="R64" s="769">
        <f>SUM(J64+L64+N64+P64)+Q64</f>
        <v>546300</v>
      </c>
      <c r="S64" s="798"/>
      <c r="T64" s="125"/>
      <c r="U64" s="798"/>
      <c r="V64" s="125"/>
      <c r="W64" s="798"/>
      <c r="X64" s="125"/>
      <c r="Y64" s="798"/>
      <c r="Z64" s="125"/>
      <c r="AA64" s="798"/>
      <c r="AB64" s="798"/>
      <c r="AC64" s="761"/>
      <c r="AD64" s="773"/>
      <c r="AE64" s="821">
        <f t="shared" si="63"/>
        <v>546300</v>
      </c>
    </row>
    <row r="65" spans="1:31" s="756" customFormat="1" ht="211.5">
      <c r="A65" s="129">
        <v>48</v>
      </c>
      <c r="B65" s="129">
        <v>4</v>
      </c>
      <c r="C65" s="805" t="s">
        <v>987</v>
      </c>
      <c r="D65" s="806" t="s">
        <v>988</v>
      </c>
      <c r="E65" s="125" t="s">
        <v>989</v>
      </c>
      <c r="F65" s="125">
        <v>7</v>
      </c>
      <c r="G65" s="871"/>
      <c r="H65" s="126">
        <v>2</v>
      </c>
      <c r="I65" s="125"/>
      <c r="J65" s="126"/>
      <c r="K65" s="125"/>
      <c r="L65" s="125"/>
      <c r="M65" s="129"/>
      <c r="N65" s="129"/>
      <c r="O65" s="129"/>
      <c r="P65" s="129"/>
      <c r="Q65" s="129"/>
      <c r="R65" s="129"/>
      <c r="S65" s="798">
        <v>45000</v>
      </c>
      <c r="T65" s="767">
        <f t="shared" ref="T65" si="66">S65*F65*(G65+H65)</f>
        <v>630000</v>
      </c>
      <c r="U65" s="798">
        <v>30000</v>
      </c>
      <c r="V65" s="767">
        <f>U65*F65*(G65+H65)</f>
        <v>420000</v>
      </c>
      <c r="W65" s="798">
        <v>2000</v>
      </c>
      <c r="X65" s="767">
        <f>W65*(G65+H65)</f>
        <v>4000</v>
      </c>
      <c r="Y65" s="798">
        <v>350000</v>
      </c>
      <c r="Z65" s="767">
        <f>Y65*(G65+H65)</f>
        <v>700000</v>
      </c>
      <c r="AA65" s="761">
        <f t="shared" ref="AA65" si="67">55000*(G65+H65)</f>
        <v>110000</v>
      </c>
      <c r="AB65" s="798"/>
      <c r="AC65" s="761"/>
      <c r="AD65" s="762">
        <f>T65+V65+X65+Z65+AA65+AB65+AC65</f>
        <v>1864000</v>
      </c>
      <c r="AE65" s="821">
        <f t="shared" si="63"/>
        <v>1864000</v>
      </c>
    </row>
    <row r="66" spans="1:31" s="756" customFormat="1" ht="352.5">
      <c r="A66" s="796">
        <v>49</v>
      </c>
      <c r="B66" s="126">
        <v>5</v>
      </c>
      <c r="C66" s="805" t="s">
        <v>984</v>
      </c>
      <c r="D66" s="806" t="s">
        <v>990</v>
      </c>
      <c r="E66" s="125" t="s">
        <v>986</v>
      </c>
      <c r="F66" s="125">
        <v>15</v>
      </c>
      <c r="G66" s="871"/>
      <c r="H66" s="126">
        <v>2</v>
      </c>
      <c r="I66" s="125">
        <v>9000</v>
      </c>
      <c r="J66" s="768">
        <f>(G66+H66)*I66*F66</f>
        <v>270000</v>
      </c>
      <c r="K66" s="125">
        <f>2.5*3450</f>
        <v>8625</v>
      </c>
      <c r="L66" s="767">
        <f>K66*F66*G66</f>
        <v>0</v>
      </c>
      <c r="M66" s="769">
        <f>3605*2</f>
        <v>7210</v>
      </c>
      <c r="N66" s="769">
        <f t="shared" ref="N66" si="68">M66*H66*F66</f>
        <v>216300</v>
      </c>
      <c r="O66" s="129">
        <v>15000</v>
      </c>
      <c r="P66" s="129">
        <f t="shared" ref="P66" si="69">O66*H66*2</f>
        <v>60000</v>
      </c>
      <c r="Q66" s="129"/>
      <c r="R66" s="769">
        <f>SUM(J66+L66+N66+P66)+Q66</f>
        <v>546300</v>
      </c>
      <c r="S66" s="798"/>
      <c r="T66" s="125"/>
      <c r="U66" s="798"/>
      <c r="V66" s="125"/>
      <c r="W66" s="798"/>
      <c r="X66" s="125"/>
      <c r="Y66" s="798"/>
      <c r="Z66" s="125"/>
      <c r="AA66" s="798"/>
      <c r="AB66" s="798"/>
      <c r="AC66" s="887"/>
      <c r="AD66" s="773"/>
      <c r="AE66" s="821">
        <f t="shared" si="63"/>
        <v>546300</v>
      </c>
    </row>
    <row r="67" spans="1:31" s="756" customFormat="1" ht="141">
      <c r="A67" s="796">
        <v>50</v>
      </c>
      <c r="B67" s="126">
        <v>6</v>
      </c>
      <c r="C67" s="805" t="s">
        <v>991</v>
      </c>
      <c r="D67" s="806" t="s">
        <v>992</v>
      </c>
      <c r="E67" s="125" t="s">
        <v>993</v>
      </c>
      <c r="F67" s="125">
        <v>10</v>
      </c>
      <c r="G67" s="871"/>
      <c r="H67" s="126">
        <v>1</v>
      </c>
      <c r="I67" s="125"/>
      <c r="J67" s="126"/>
      <c r="K67" s="125"/>
      <c r="L67" s="125"/>
      <c r="M67" s="129"/>
      <c r="N67" s="129"/>
      <c r="O67" s="129"/>
      <c r="P67" s="129"/>
      <c r="Q67" s="129"/>
      <c r="R67" s="129"/>
      <c r="S67" s="798">
        <v>45000</v>
      </c>
      <c r="T67" s="767">
        <f t="shared" ref="T67" si="70">S67*F67*(G67+H67)</f>
        <v>450000</v>
      </c>
      <c r="U67" s="798">
        <v>30000</v>
      </c>
      <c r="V67" s="767">
        <f>U67*F67*(G67+H67)</f>
        <v>300000</v>
      </c>
      <c r="W67" s="798">
        <v>2500</v>
      </c>
      <c r="X67" s="767">
        <f>W67*(G67+H67)</f>
        <v>2500</v>
      </c>
      <c r="Y67" s="798">
        <v>350000</v>
      </c>
      <c r="Z67" s="767">
        <f>Y67*(G67+H67)</f>
        <v>350000</v>
      </c>
      <c r="AA67" s="761">
        <f t="shared" ref="AA67" si="71">55000*(G67+H67)</f>
        <v>55000</v>
      </c>
      <c r="AB67" s="798"/>
      <c r="AC67" s="761"/>
      <c r="AD67" s="762">
        <f>T67+V67+X67+Z67+AA67+AB67+AC67</f>
        <v>1157500</v>
      </c>
      <c r="AE67" s="821">
        <f t="shared" si="63"/>
        <v>1157500</v>
      </c>
    </row>
    <row r="68" spans="1:31" s="756" customFormat="1" ht="76.5">
      <c r="A68" s="1739" t="s">
        <v>886</v>
      </c>
      <c r="B68" s="1739"/>
      <c r="C68" s="1739"/>
      <c r="D68" s="1739"/>
      <c r="E68" s="1739"/>
      <c r="F68" s="1739"/>
      <c r="G68" s="1739"/>
      <c r="H68" s="1739"/>
      <c r="I68" s="870"/>
      <c r="J68" s="870">
        <f>SUM(J62:J67)</f>
        <v>540000</v>
      </c>
      <c r="K68" s="870"/>
      <c r="L68" s="870">
        <f>SUM(L62:L67)</f>
        <v>0</v>
      </c>
      <c r="M68" s="870"/>
      <c r="N68" s="870">
        <f>SUM(N62:N67)</f>
        <v>432600</v>
      </c>
      <c r="O68" s="869"/>
      <c r="P68" s="870">
        <f>SUM(P62:P67)</f>
        <v>120000</v>
      </c>
      <c r="Q68" s="869"/>
      <c r="R68" s="870">
        <f>SUM(R62:R67)</f>
        <v>1092600</v>
      </c>
      <c r="S68" s="869"/>
      <c r="T68" s="870">
        <f>SUM(T62:T67)</f>
        <v>2790000</v>
      </c>
      <c r="U68" s="869"/>
      <c r="V68" s="870">
        <f>SUM(V62:V67)</f>
        <v>1860000</v>
      </c>
      <c r="W68" s="869"/>
      <c r="X68" s="870">
        <f>SUM(X62:X67)</f>
        <v>17500</v>
      </c>
      <c r="Y68" s="869"/>
      <c r="Z68" s="870">
        <f t="shared" ref="Z68:AD68" si="72">SUM(Z62:Z67)</f>
        <v>2050000</v>
      </c>
      <c r="AA68" s="870">
        <f t="shared" si="72"/>
        <v>165000</v>
      </c>
      <c r="AB68" s="870">
        <f t="shared" si="72"/>
        <v>0</v>
      </c>
      <c r="AC68" s="885">
        <f t="shared" si="72"/>
        <v>0</v>
      </c>
      <c r="AD68" s="870">
        <f t="shared" si="72"/>
        <v>6882500</v>
      </c>
      <c r="AE68" s="870">
        <f>SUM(AE62:AE67)</f>
        <v>7975100</v>
      </c>
    </row>
    <row r="69" spans="1:31" s="756" customFormat="1" ht="76.5">
      <c r="A69" s="1736" t="s">
        <v>994</v>
      </c>
      <c r="B69" s="1736"/>
      <c r="C69" s="1736"/>
      <c r="D69" s="1736"/>
      <c r="E69" s="1736"/>
      <c r="F69" s="1736"/>
      <c r="G69" s="1736"/>
      <c r="H69" s="1736"/>
      <c r="I69" s="1736"/>
      <c r="J69" s="1736"/>
      <c r="K69" s="1736"/>
      <c r="L69" s="1736"/>
      <c r="M69" s="1736"/>
      <c r="N69" s="1736"/>
      <c r="O69" s="1736"/>
      <c r="P69" s="1736"/>
      <c r="Q69" s="1736"/>
      <c r="R69" s="1736"/>
      <c r="S69" s="1736"/>
      <c r="T69" s="1736"/>
      <c r="U69" s="1736"/>
      <c r="V69" s="1736"/>
      <c r="W69" s="1736"/>
      <c r="X69" s="1736"/>
      <c r="Y69" s="1736"/>
      <c r="Z69" s="1736"/>
      <c r="AA69" s="1736"/>
      <c r="AB69" s="1736"/>
      <c r="AC69" s="1736"/>
      <c r="AD69" s="1736"/>
      <c r="AE69" s="1736"/>
    </row>
    <row r="70" spans="1:31" s="756" customFormat="1" ht="76.5">
      <c r="A70" s="129">
        <v>51</v>
      </c>
      <c r="B70" s="129">
        <v>1</v>
      </c>
      <c r="C70" s="805" t="s">
        <v>979</v>
      </c>
      <c r="D70" s="806" t="s">
        <v>995</v>
      </c>
      <c r="E70" s="125" t="s">
        <v>981</v>
      </c>
      <c r="F70" s="808">
        <v>7</v>
      </c>
      <c r="G70" s="871"/>
      <c r="H70" s="808">
        <v>1</v>
      </c>
      <c r="I70" s="125"/>
      <c r="J70" s="823"/>
      <c r="K70" s="125"/>
      <c r="L70" s="811"/>
      <c r="M70" s="129"/>
      <c r="N70" s="824"/>
      <c r="O70" s="129"/>
      <c r="P70" s="129"/>
      <c r="Q70" s="129"/>
      <c r="R70" s="824"/>
      <c r="S70" s="798">
        <v>45000</v>
      </c>
      <c r="T70" s="767">
        <f t="shared" ref="T70" si="73">S70*F70*(G70+H70)</f>
        <v>315000</v>
      </c>
      <c r="U70" s="798">
        <v>30000</v>
      </c>
      <c r="V70" s="767">
        <f>U70*F70*(G70+H70)</f>
        <v>210000</v>
      </c>
      <c r="W70" s="798">
        <v>3500</v>
      </c>
      <c r="X70" s="767">
        <f>W70*(G70+H70)</f>
        <v>3500</v>
      </c>
      <c r="Y70" s="798">
        <v>250000</v>
      </c>
      <c r="Z70" s="767">
        <f>Y70*(G70+H70)</f>
        <v>250000</v>
      </c>
      <c r="AA70" s="798"/>
      <c r="AB70" s="798"/>
      <c r="AC70" s="761"/>
      <c r="AD70" s="762">
        <f>T70+V70+X70+Z70+AA70+AB70+AC70</f>
        <v>778500</v>
      </c>
      <c r="AE70" s="821">
        <f>R70+AD70</f>
        <v>778500</v>
      </c>
    </row>
    <row r="71" spans="1:31" s="756" customFormat="1" ht="352.5">
      <c r="A71" s="129">
        <v>52</v>
      </c>
      <c r="B71" s="126">
        <v>2</v>
      </c>
      <c r="C71" s="805" t="s">
        <v>984</v>
      </c>
      <c r="D71" s="806" t="s">
        <v>996</v>
      </c>
      <c r="E71" s="125" t="s">
        <v>986</v>
      </c>
      <c r="F71" s="125">
        <v>15</v>
      </c>
      <c r="G71" s="871"/>
      <c r="H71" s="126">
        <v>1</v>
      </c>
      <c r="I71" s="125">
        <v>9000</v>
      </c>
      <c r="J71" s="768">
        <f>(G71+H71)*I71*F71</f>
        <v>135000</v>
      </c>
      <c r="K71" s="125">
        <f>2.5*3450</f>
        <v>8625</v>
      </c>
      <c r="L71" s="767">
        <f>K71*F71*G71</f>
        <v>0</v>
      </c>
      <c r="M71" s="769">
        <f>3605*2</f>
        <v>7210</v>
      </c>
      <c r="N71" s="769">
        <f t="shared" ref="N71" si="74">M71*H71*F71</f>
        <v>108150</v>
      </c>
      <c r="O71" s="129">
        <v>15000</v>
      </c>
      <c r="P71" s="129">
        <f t="shared" ref="P71" si="75">O71*H71*2</f>
        <v>30000</v>
      </c>
      <c r="Q71" s="129"/>
      <c r="R71" s="769">
        <f>SUM(J71+L71+N71+P71)+Q71</f>
        <v>273150</v>
      </c>
      <c r="S71" s="798"/>
      <c r="T71" s="125"/>
      <c r="U71" s="798"/>
      <c r="V71" s="125"/>
      <c r="W71" s="798"/>
      <c r="X71" s="125"/>
      <c r="Y71" s="798"/>
      <c r="Z71" s="125"/>
      <c r="AA71" s="798"/>
      <c r="AB71" s="798"/>
      <c r="AC71" s="761"/>
      <c r="AD71" s="773"/>
      <c r="AE71" s="821">
        <f t="shared" ref="AE71:AE74" si="76">R71+AD71</f>
        <v>273150</v>
      </c>
    </row>
    <row r="72" spans="1:31" s="756" customFormat="1" ht="211.5">
      <c r="A72" s="129">
        <v>53</v>
      </c>
      <c r="B72" s="126">
        <v>3</v>
      </c>
      <c r="C72" s="805" t="s">
        <v>987</v>
      </c>
      <c r="D72" s="806" t="s">
        <v>997</v>
      </c>
      <c r="E72" s="125" t="s">
        <v>389</v>
      </c>
      <c r="F72" s="125">
        <v>7</v>
      </c>
      <c r="G72" s="871"/>
      <c r="H72" s="126">
        <v>1</v>
      </c>
      <c r="I72" s="125"/>
      <c r="J72" s="823"/>
      <c r="K72" s="125"/>
      <c r="L72" s="811"/>
      <c r="M72" s="129"/>
      <c r="N72" s="824"/>
      <c r="O72" s="129"/>
      <c r="P72" s="129"/>
      <c r="Q72" s="129"/>
      <c r="R72" s="129"/>
      <c r="S72" s="798">
        <v>45000</v>
      </c>
      <c r="T72" s="767">
        <f t="shared" ref="T72" si="77">S72*F72*(G72+H72)</f>
        <v>315000</v>
      </c>
      <c r="U72" s="798">
        <v>30000</v>
      </c>
      <c r="V72" s="767">
        <f>U72*F72*(G72+H72)</f>
        <v>210000</v>
      </c>
      <c r="W72" s="798">
        <v>3500</v>
      </c>
      <c r="X72" s="767">
        <f>W72*(G72+H72)</f>
        <v>3500</v>
      </c>
      <c r="Y72" s="798">
        <v>350000</v>
      </c>
      <c r="Z72" s="767">
        <f>Y72*(G72+H72)</f>
        <v>350000</v>
      </c>
      <c r="AA72" s="761">
        <f t="shared" ref="AA72" si="78">55000*(G72+H72)</f>
        <v>55000</v>
      </c>
      <c r="AB72" s="798"/>
      <c r="AC72" s="761"/>
      <c r="AD72" s="762">
        <f>T72+V72+X72+Z72+AA72+AB72+AC72</f>
        <v>933500</v>
      </c>
      <c r="AE72" s="821">
        <f t="shared" si="76"/>
        <v>933500</v>
      </c>
    </row>
    <row r="73" spans="1:31" s="756" customFormat="1" ht="352.5">
      <c r="A73" s="129">
        <v>54</v>
      </c>
      <c r="B73" s="126">
        <v>4</v>
      </c>
      <c r="C73" s="805" t="s">
        <v>984</v>
      </c>
      <c r="D73" s="806" t="s">
        <v>998</v>
      </c>
      <c r="E73" s="125" t="s">
        <v>986</v>
      </c>
      <c r="F73" s="125">
        <v>15</v>
      </c>
      <c r="G73" s="871"/>
      <c r="H73" s="126">
        <v>1</v>
      </c>
      <c r="I73" s="125">
        <v>9000</v>
      </c>
      <c r="J73" s="768">
        <f>(G73+H73)*I73*F73</f>
        <v>135000</v>
      </c>
      <c r="K73" s="125">
        <f>2.5*3450</f>
        <v>8625</v>
      </c>
      <c r="L73" s="767">
        <f>K73*F73*G73</f>
        <v>0</v>
      </c>
      <c r="M73" s="769">
        <f>3605*2</f>
        <v>7210</v>
      </c>
      <c r="N73" s="769">
        <f t="shared" ref="N73" si="79">M73*H73*F73</f>
        <v>108150</v>
      </c>
      <c r="O73" s="129">
        <v>15000</v>
      </c>
      <c r="P73" s="129">
        <f t="shared" ref="P73" si="80">O73*H73*2</f>
        <v>30000</v>
      </c>
      <c r="Q73" s="129"/>
      <c r="R73" s="769">
        <f>SUM(J73+L73+N73+P73)+Q73</f>
        <v>273150</v>
      </c>
      <c r="S73" s="798"/>
      <c r="T73" s="125"/>
      <c r="U73" s="798"/>
      <c r="V73" s="125"/>
      <c r="W73" s="798"/>
      <c r="X73" s="125"/>
      <c r="Y73" s="798"/>
      <c r="Z73" s="125"/>
      <c r="AA73" s="798"/>
      <c r="AB73" s="798"/>
      <c r="AC73" s="761"/>
      <c r="AD73" s="773"/>
      <c r="AE73" s="821">
        <f t="shared" si="76"/>
        <v>273150</v>
      </c>
    </row>
    <row r="74" spans="1:31" s="756" customFormat="1" ht="141">
      <c r="A74" s="129">
        <v>55</v>
      </c>
      <c r="B74" s="126">
        <v>5</v>
      </c>
      <c r="C74" s="805" t="s">
        <v>999</v>
      </c>
      <c r="D74" s="806" t="s">
        <v>1000</v>
      </c>
      <c r="E74" s="125" t="s">
        <v>993</v>
      </c>
      <c r="F74" s="125">
        <v>10</v>
      </c>
      <c r="G74" s="871"/>
      <c r="H74" s="126">
        <v>1</v>
      </c>
      <c r="I74" s="125"/>
      <c r="J74" s="823"/>
      <c r="K74" s="125"/>
      <c r="L74" s="811"/>
      <c r="M74" s="129"/>
      <c r="N74" s="824"/>
      <c r="O74" s="129"/>
      <c r="P74" s="129"/>
      <c r="Q74" s="129"/>
      <c r="R74" s="824"/>
      <c r="S74" s="798">
        <v>45000</v>
      </c>
      <c r="T74" s="767">
        <f t="shared" ref="T74" si="81">S74*F74*(G74+H74)</f>
        <v>450000</v>
      </c>
      <c r="U74" s="798">
        <v>30000</v>
      </c>
      <c r="V74" s="767">
        <f>U74*F74*(G74+H74)</f>
        <v>300000</v>
      </c>
      <c r="W74" s="798">
        <v>10000</v>
      </c>
      <c r="X74" s="767">
        <f>W74*(G74+H74)</f>
        <v>10000</v>
      </c>
      <c r="Y74" s="798">
        <v>350000</v>
      </c>
      <c r="Z74" s="767">
        <f>Y74*(G74+H74)</f>
        <v>350000</v>
      </c>
      <c r="AA74" s="761">
        <f t="shared" ref="AA74" si="82">55000*(G74+H74)</f>
        <v>55000</v>
      </c>
      <c r="AB74" s="798"/>
      <c r="AC74" s="761"/>
      <c r="AD74" s="762">
        <f>T74+V74+X74+Z74+AA74+AB74+AC74</f>
        <v>1165000</v>
      </c>
      <c r="AE74" s="821">
        <f t="shared" si="76"/>
        <v>1165000</v>
      </c>
    </row>
    <row r="75" spans="1:31" s="756" customFormat="1" ht="74.25" customHeight="1">
      <c r="A75" s="1664" t="s">
        <v>886</v>
      </c>
      <c r="B75" s="1664"/>
      <c r="C75" s="1664"/>
      <c r="D75" s="1664"/>
      <c r="E75" s="1664"/>
      <c r="F75" s="781"/>
      <c r="G75" s="873"/>
      <c r="H75" s="781"/>
      <c r="I75" s="781"/>
      <c r="J75" s="781">
        <f>SUM(J70:J74)</f>
        <v>270000</v>
      </c>
      <c r="K75" s="781"/>
      <c r="L75" s="781">
        <f>SUM(L70:L74)</f>
        <v>0</v>
      </c>
      <c r="M75" s="781"/>
      <c r="N75" s="781">
        <f>SUM(N70:N74)</f>
        <v>216300</v>
      </c>
      <c r="O75" s="781"/>
      <c r="P75" s="781">
        <f>SUM(P70:P74)</f>
        <v>60000</v>
      </c>
      <c r="Q75" s="781"/>
      <c r="R75" s="781">
        <f>SUM(R70:R74)</f>
        <v>546300</v>
      </c>
      <c r="S75" s="781"/>
      <c r="T75" s="781">
        <f>SUM(T70:T74)</f>
        <v>1080000</v>
      </c>
      <c r="U75" s="781"/>
      <c r="V75" s="781">
        <f>SUM(V70:V74)</f>
        <v>720000</v>
      </c>
      <c r="W75" s="781"/>
      <c r="X75" s="781">
        <f>SUM(X70:X74)</f>
        <v>17000</v>
      </c>
      <c r="Y75" s="781"/>
      <c r="Z75" s="781">
        <f t="shared" ref="Z75:AE75" si="83">SUM(Z70:Z74)</f>
        <v>950000</v>
      </c>
      <c r="AA75" s="781">
        <f t="shared" si="83"/>
        <v>110000</v>
      </c>
      <c r="AB75" s="781">
        <f t="shared" si="83"/>
        <v>0</v>
      </c>
      <c r="AC75" s="831">
        <f t="shared" si="83"/>
        <v>0</v>
      </c>
      <c r="AD75" s="781">
        <f t="shared" si="83"/>
        <v>2877000</v>
      </c>
      <c r="AE75" s="781">
        <f t="shared" si="83"/>
        <v>3423300</v>
      </c>
    </row>
    <row r="76" spans="1:31" s="756" customFormat="1" ht="76.5">
      <c r="A76" s="1736" t="s">
        <v>1001</v>
      </c>
      <c r="B76" s="1736"/>
      <c r="C76" s="1736"/>
      <c r="D76" s="1736"/>
      <c r="E76" s="1736"/>
      <c r="F76" s="1736"/>
      <c r="G76" s="1736"/>
      <c r="H76" s="1736"/>
      <c r="I76" s="1736"/>
      <c r="J76" s="1736"/>
      <c r="K76" s="1736"/>
      <c r="L76" s="1736"/>
      <c r="M76" s="1736"/>
      <c r="N76" s="1736"/>
      <c r="O76" s="1736"/>
      <c r="P76" s="1736"/>
      <c r="Q76" s="1736"/>
      <c r="R76" s="1736"/>
      <c r="S76" s="1736"/>
      <c r="T76" s="1736"/>
      <c r="U76" s="1736"/>
      <c r="V76" s="1736"/>
      <c r="W76" s="1736"/>
      <c r="X76" s="1736"/>
      <c r="Y76" s="1736"/>
      <c r="Z76" s="1736"/>
      <c r="AA76" s="1736"/>
      <c r="AB76" s="1736"/>
      <c r="AC76" s="1736"/>
      <c r="AD76" s="1736"/>
      <c r="AE76" s="1736"/>
    </row>
    <row r="77" spans="1:31" s="756" customFormat="1" ht="409.5">
      <c r="A77" s="129">
        <v>56</v>
      </c>
      <c r="B77" s="769">
        <v>1</v>
      </c>
      <c r="C77" s="807" t="s">
        <v>1002</v>
      </c>
      <c r="D77" s="761" t="s">
        <v>1003</v>
      </c>
      <c r="E77" s="125" t="s">
        <v>1004</v>
      </c>
      <c r="F77" s="808">
        <v>14</v>
      </c>
      <c r="G77" s="871"/>
      <c r="H77" s="808">
        <v>2</v>
      </c>
      <c r="I77" s="125">
        <v>8500</v>
      </c>
      <c r="J77" s="768">
        <f>(G77+H77)*I77*F77</f>
        <v>238000</v>
      </c>
      <c r="K77" s="125">
        <f>3450*2.5</f>
        <v>8625</v>
      </c>
      <c r="L77" s="767">
        <f>K77*F77*G77</f>
        <v>0</v>
      </c>
      <c r="M77" s="769">
        <f>3605*2</f>
        <v>7210</v>
      </c>
      <c r="N77" s="769">
        <f t="shared" ref="N77" si="84">M77*H77*F77</f>
        <v>201880</v>
      </c>
      <c r="O77" s="129">
        <v>10000</v>
      </c>
      <c r="P77" s="129">
        <f t="shared" ref="P77" si="85">O77*H77*2</f>
        <v>40000</v>
      </c>
      <c r="Q77" s="129"/>
      <c r="R77" s="769">
        <f>SUM(J77+L77+N77+P77)+Q77</f>
        <v>479880</v>
      </c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769"/>
      <c r="AD77" s="773"/>
      <c r="AE77" s="773">
        <f>R77+AD77</f>
        <v>479880</v>
      </c>
    </row>
    <row r="78" spans="1:31" s="756" customFormat="1" ht="211.5">
      <c r="A78" s="796">
        <v>57</v>
      </c>
      <c r="B78" s="768">
        <v>2</v>
      </c>
      <c r="C78" s="807" t="s">
        <v>902</v>
      </c>
      <c r="D78" s="761" t="s">
        <v>903</v>
      </c>
      <c r="E78" s="125" t="s">
        <v>904</v>
      </c>
      <c r="F78" s="125">
        <v>6</v>
      </c>
      <c r="G78" s="871"/>
      <c r="H78" s="808">
        <v>2</v>
      </c>
      <c r="I78" s="125"/>
      <c r="J78" s="126"/>
      <c r="K78" s="125"/>
      <c r="L78" s="125"/>
      <c r="M78" s="129"/>
      <c r="N78" s="129"/>
      <c r="O78" s="129"/>
      <c r="P78" s="129"/>
      <c r="Q78" s="129"/>
      <c r="R78" s="129"/>
      <c r="S78" s="798">
        <v>17500</v>
      </c>
      <c r="T78" s="767">
        <f t="shared" ref="T78" si="86">S78*F78*(G78+H78)</f>
        <v>210000</v>
      </c>
      <c r="U78" s="798">
        <v>17500</v>
      </c>
      <c r="V78" s="767">
        <f>U78*F78*(G78+H78)</f>
        <v>210000</v>
      </c>
      <c r="W78" s="798">
        <v>14000</v>
      </c>
      <c r="X78" s="767">
        <f>W78*(G78+H78)</f>
        <v>28000</v>
      </c>
      <c r="Y78" s="798">
        <v>350000</v>
      </c>
      <c r="Z78" s="767">
        <f>Y78*(G78+H78)</f>
        <v>700000</v>
      </c>
      <c r="AA78" s="798"/>
      <c r="AB78" s="798"/>
      <c r="AC78" s="761"/>
      <c r="AD78" s="762">
        <f>T78+V78+X78+Z78+AA78+AB78+AC78</f>
        <v>1148000</v>
      </c>
      <c r="AE78" s="773">
        <f t="shared" ref="AE78:AE85" si="87">R78+AD78</f>
        <v>1148000</v>
      </c>
    </row>
    <row r="79" spans="1:31" s="756" customFormat="1" ht="409.5">
      <c r="A79" s="129">
        <v>58</v>
      </c>
      <c r="B79" s="769">
        <v>3</v>
      </c>
      <c r="C79" s="807" t="s">
        <v>1005</v>
      </c>
      <c r="D79" s="761" t="s">
        <v>906</v>
      </c>
      <c r="E79" s="125" t="s">
        <v>1004</v>
      </c>
      <c r="F79" s="808">
        <v>14</v>
      </c>
      <c r="G79" s="871"/>
      <c r="H79" s="808">
        <v>2</v>
      </c>
      <c r="I79" s="125">
        <v>8500</v>
      </c>
      <c r="J79" s="768">
        <f>(G79+H79)*I79*F79</f>
        <v>238000</v>
      </c>
      <c r="K79" s="125">
        <f>3450*2.5</f>
        <v>8625</v>
      </c>
      <c r="L79" s="767">
        <f>K79*F79*G79</f>
        <v>0</v>
      </c>
      <c r="M79" s="769">
        <f>3605*2</f>
        <v>7210</v>
      </c>
      <c r="N79" s="769">
        <f t="shared" ref="N79" si="88">M79*H79*F79</f>
        <v>201880</v>
      </c>
      <c r="O79" s="129">
        <v>10000</v>
      </c>
      <c r="P79" s="129">
        <f t="shared" ref="P79" si="89">O79*H79*2</f>
        <v>40000</v>
      </c>
      <c r="Q79" s="129"/>
      <c r="R79" s="769">
        <f>SUM(J79+L79+N79+P79)+Q79</f>
        <v>479880</v>
      </c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769"/>
      <c r="AD79" s="773"/>
      <c r="AE79" s="773">
        <f t="shared" si="87"/>
        <v>479880</v>
      </c>
    </row>
    <row r="80" spans="1:31" s="756" customFormat="1" ht="211.5">
      <c r="A80" s="129">
        <v>59</v>
      </c>
      <c r="B80" s="769">
        <v>4</v>
      </c>
      <c r="C80" s="807" t="s">
        <v>1006</v>
      </c>
      <c r="D80" s="761" t="s">
        <v>906</v>
      </c>
      <c r="E80" s="798" t="s">
        <v>910</v>
      </c>
      <c r="F80" s="125">
        <v>7</v>
      </c>
      <c r="G80" s="871"/>
      <c r="H80" s="808">
        <v>2</v>
      </c>
      <c r="I80" s="125"/>
      <c r="J80" s="126"/>
      <c r="K80" s="125"/>
      <c r="L80" s="125"/>
      <c r="M80" s="129"/>
      <c r="N80" s="129"/>
      <c r="O80" s="129"/>
      <c r="P80" s="129"/>
      <c r="Q80" s="129"/>
      <c r="R80" s="129"/>
      <c r="S80" s="798">
        <v>43500</v>
      </c>
      <c r="T80" s="767">
        <f t="shared" ref="T80:T82" si="90">S80*F80*(G80+H80)</f>
        <v>609000</v>
      </c>
      <c r="U80" s="798">
        <v>43500</v>
      </c>
      <c r="V80" s="767">
        <f>U80*F80*(G80+H80)</f>
        <v>609000</v>
      </c>
      <c r="W80" s="798">
        <v>14700</v>
      </c>
      <c r="X80" s="767">
        <f>W80*(G80+H80)</f>
        <v>29400</v>
      </c>
      <c r="Y80" s="798">
        <v>450000</v>
      </c>
      <c r="Z80" s="767">
        <f>Y80*(G80+H80)</f>
        <v>900000</v>
      </c>
      <c r="AA80" s="761">
        <f t="shared" ref="AA80" si="91">55000*(G80+H80)</f>
        <v>110000</v>
      </c>
      <c r="AB80" s="798"/>
      <c r="AC80" s="761">
        <f>(25400*G80)+(49500*H80)</f>
        <v>99000</v>
      </c>
      <c r="AD80" s="762">
        <f>T80+V80+X80+Z80+AA80+AB80+AC80</f>
        <v>2356400</v>
      </c>
      <c r="AE80" s="773">
        <f t="shared" si="87"/>
        <v>2356400</v>
      </c>
    </row>
    <row r="81" spans="1:31" s="756" customFormat="1" ht="352.5">
      <c r="A81" s="769">
        <v>60</v>
      </c>
      <c r="B81" s="769">
        <v>5</v>
      </c>
      <c r="C81" s="807" t="s">
        <v>1007</v>
      </c>
      <c r="D81" s="761" t="s">
        <v>912</v>
      </c>
      <c r="E81" s="761" t="s">
        <v>1008</v>
      </c>
      <c r="F81" s="767">
        <v>14</v>
      </c>
      <c r="G81" s="871"/>
      <c r="H81" s="791">
        <v>2</v>
      </c>
      <c r="I81" s="767"/>
      <c r="J81" s="768"/>
      <c r="K81" s="767"/>
      <c r="L81" s="767"/>
      <c r="M81" s="769"/>
      <c r="N81" s="769"/>
      <c r="O81" s="769"/>
      <c r="P81" s="769"/>
      <c r="Q81" s="769"/>
      <c r="R81" s="769"/>
      <c r="S81" s="761">
        <v>15000</v>
      </c>
      <c r="T81" s="767">
        <f t="shared" si="90"/>
        <v>420000</v>
      </c>
      <c r="U81" s="761">
        <v>15000</v>
      </c>
      <c r="V81" s="767">
        <f t="shared" ref="V81:V82" si="92">U81*F81*(G81+H81)</f>
        <v>420000</v>
      </c>
      <c r="W81" s="761">
        <v>14700</v>
      </c>
      <c r="X81" s="767">
        <f>W81*(G81+H81)</f>
        <v>29400</v>
      </c>
      <c r="Y81" s="761">
        <v>20000</v>
      </c>
      <c r="Z81" s="767">
        <f t="shared" ref="Z81:Z82" si="93">Y81*(G81+H81)</f>
        <v>40000</v>
      </c>
      <c r="AA81" s="761"/>
      <c r="AB81" s="761"/>
      <c r="AC81" s="761"/>
      <c r="AD81" s="762">
        <f t="shared" ref="AD81:AD82" si="94">T81+V81+X81+Z81+AA81+AB81+AC81</f>
        <v>909400</v>
      </c>
      <c r="AE81" s="773">
        <f t="shared" si="87"/>
        <v>909400</v>
      </c>
    </row>
    <row r="82" spans="1:31" s="756" customFormat="1" ht="211.5">
      <c r="A82" s="129">
        <v>61</v>
      </c>
      <c r="B82" s="769">
        <v>6</v>
      </c>
      <c r="C82" s="807" t="s">
        <v>913</v>
      </c>
      <c r="D82" s="761" t="s">
        <v>912</v>
      </c>
      <c r="E82" s="798" t="s">
        <v>910</v>
      </c>
      <c r="F82" s="125">
        <v>7</v>
      </c>
      <c r="G82" s="871"/>
      <c r="H82" s="808">
        <v>1</v>
      </c>
      <c r="I82" s="125"/>
      <c r="J82" s="126"/>
      <c r="K82" s="125"/>
      <c r="L82" s="125"/>
      <c r="M82" s="129"/>
      <c r="N82" s="129"/>
      <c r="O82" s="129"/>
      <c r="P82" s="129"/>
      <c r="Q82" s="129"/>
      <c r="R82" s="129"/>
      <c r="S82" s="798">
        <v>43500</v>
      </c>
      <c r="T82" s="767">
        <f t="shared" si="90"/>
        <v>304500</v>
      </c>
      <c r="U82" s="798">
        <v>43500</v>
      </c>
      <c r="V82" s="767">
        <f t="shared" si="92"/>
        <v>304500</v>
      </c>
      <c r="W82" s="798">
        <v>14700</v>
      </c>
      <c r="X82" s="767">
        <f>W82*(G82+H82)</f>
        <v>14700</v>
      </c>
      <c r="Y82" s="798">
        <v>450000</v>
      </c>
      <c r="Z82" s="767">
        <f t="shared" si="93"/>
        <v>450000</v>
      </c>
      <c r="AA82" s="761">
        <f t="shared" ref="AA82" si="95">55000*(G82+H82)</f>
        <v>55000</v>
      </c>
      <c r="AB82" s="798"/>
      <c r="AC82" s="761">
        <f>(25400*G82)</f>
        <v>0</v>
      </c>
      <c r="AD82" s="762">
        <f t="shared" si="94"/>
        <v>1128700</v>
      </c>
      <c r="AE82" s="773">
        <f t="shared" si="87"/>
        <v>1128700</v>
      </c>
    </row>
    <row r="83" spans="1:31" s="756" customFormat="1" ht="409.5">
      <c r="A83" s="129">
        <v>62</v>
      </c>
      <c r="B83" s="769">
        <v>7</v>
      </c>
      <c r="C83" s="807" t="s">
        <v>1009</v>
      </c>
      <c r="D83" s="761" t="s">
        <v>1010</v>
      </c>
      <c r="E83" s="125" t="s">
        <v>1004</v>
      </c>
      <c r="F83" s="808">
        <v>14</v>
      </c>
      <c r="G83" s="871"/>
      <c r="H83" s="808">
        <v>2</v>
      </c>
      <c r="I83" s="125">
        <v>8500</v>
      </c>
      <c r="J83" s="768">
        <f>(G83+H83)*I83*F83</f>
        <v>238000</v>
      </c>
      <c r="K83" s="125">
        <f>3450*2.5</f>
        <v>8625</v>
      </c>
      <c r="L83" s="767">
        <f>K83*F83*G83</f>
        <v>0</v>
      </c>
      <c r="M83" s="769">
        <f>3605*2</f>
        <v>7210</v>
      </c>
      <c r="N83" s="769">
        <f t="shared" ref="N83" si="96">M83*H83*F83</f>
        <v>201880</v>
      </c>
      <c r="O83" s="129">
        <v>10000</v>
      </c>
      <c r="P83" s="129">
        <f t="shared" ref="P83" si="97">O83*H83*2</f>
        <v>40000</v>
      </c>
      <c r="Q83" s="129"/>
      <c r="R83" s="769">
        <f>SUM(J83+L83+N83+P83)+Q83</f>
        <v>479880</v>
      </c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769"/>
      <c r="AD83" s="773"/>
      <c r="AE83" s="773">
        <f t="shared" si="87"/>
        <v>479880</v>
      </c>
    </row>
    <row r="84" spans="1:31" s="756" customFormat="1" ht="211.5">
      <c r="A84" s="129">
        <v>63</v>
      </c>
      <c r="B84" s="769">
        <v>8</v>
      </c>
      <c r="C84" s="807" t="s">
        <v>1011</v>
      </c>
      <c r="D84" s="761" t="s">
        <v>925</v>
      </c>
      <c r="E84" s="798" t="s">
        <v>904</v>
      </c>
      <c r="F84" s="125">
        <v>6</v>
      </c>
      <c r="G84" s="871"/>
      <c r="H84" s="808">
        <v>2</v>
      </c>
      <c r="I84" s="125"/>
      <c r="J84" s="126"/>
      <c r="K84" s="125"/>
      <c r="L84" s="125"/>
      <c r="M84" s="129"/>
      <c r="N84" s="129"/>
      <c r="O84" s="129"/>
      <c r="P84" s="129"/>
      <c r="Q84" s="129"/>
      <c r="R84" s="129"/>
      <c r="S84" s="798">
        <v>43500</v>
      </c>
      <c r="T84" s="767">
        <f t="shared" ref="T84:T85" si="98">S84*F84*(G84+H84)</f>
        <v>522000</v>
      </c>
      <c r="U84" s="798">
        <v>43500</v>
      </c>
      <c r="V84" s="767">
        <f t="shared" ref="V84:V85" si="99">U84*F84*(G84+H84)</f>
        <v>522000</v>
      </c>
      <c r="W84" s="798">
        <v>14000</v>
      </c>
      <c r="X84" s="767">
        <f t="shared" ref="X84:X85" si="100">W84*(G84+H84)</f>
        <v>28000</v>
      </c>
      <c r="Y84" s="798">
        <v>350000</v>
      </c>
      <c r="Z84" s="767">
        <f t="shared" ref="Z84:Z85" si="101">Y84*(G84+H84)</f>
        <v>700000</v>
      </c>
      <c r="AA84" s="798"/>
      <c r="AB84" s="798"/>
      <c r="AC84" s="761"/>
      <c r="AD84" s="762">
        <f t="shared" ref="AD84:AD85" si="102">T84+V84+X84+Z84+AA84+AB84+AC84</f>
        <v>1772000</v>
      </c>
      <c r="AE84" s="773">
        <f t="shared" si="87"/>
        <v>1772000</v>
      </c>
    </row>
    <row r="85" spans="1:31" s="756" customFormat="1" ht="409.5">
      <c r="A85" s="129">
        <v>64</v>
      </c>
      <c r="B85" s="769">
        <v>9</v>
      </c>
      <c r="C85" s="807" t="s">
        <v>902</v>
      </c>
      <c r="D85" s="761" t="s">
        <v>1012</v>
      </c>
      <c r="E85" s="798" t="s">
        <v>1008</v>
      </c>
      <c r="F85" s="125">
        <v>4</v>
      </c>
      <c r="G85" s="871"/>
      <c r="H85" s="808">
        <v>1</v>
      </c>
      <c r="I85" s="125"/>
      <c r="J85" s="126"/>
      <c r="K85" s="125"/>
      <c r="L85" s="125"/>
      <c r="M85" s="129"/>
      <c r="N85" s="129"/>
      <c r="O85" s="129"/>
      <c r="P85" s="129"/>
      <c r="Q85" s="129"/>
      <c r="R85" s="129"/>
      <c r="S85" s="798">
        <v>15000</v>
      </c>
      <c r="T85" s="767">
        <f t="shared" si="98"/>
        <v>60000</v>
      </c>
      <c r="U85" s="798">
        <v>15000</v>
      </c>
      <c r="V85" s="767">
        <f t="shared" si="99"/>
        <v>60000</v>
      </c>
      <c r="W85" s="798">
        <v>14000</v>
      </c>
      <c r="X85" s="767">
        <f t="shared" si="100"/>
        <v>14000</v>
      </c>
      <c r="Y85" s="798">
        <v>20000</v>
      </c>
      <c r="Z85" s="767">
        <f t="shared" si="101"/>
        <v>20000</v>
      </c>
      <c r="AA85" s="798"/>
      <c r="AB85" s="798"/>
      <c r="AC85" s="761"/>
      <c r="AD85" s="762">
        <f t="shared" si="102"/>
        <v>154000</v>
      </c>
      <c r="AE85" s="773">
        <f t="shared" si="87"/>
        <v>154000</v>
      </c>
    </row>
    <row r="86" spans="1:31" s="756" customFormat="1" ht="76.5">
      <c r="A86" s="1661" t="s">
        <v>886</v>
      </c>
      <c r="B86" s="1661"/>
      <c r="C86" s="1661"/>
      <c r="D86" s="1661"/>
      <c r="E86" s="1661"/>
      <c r="F86" s="1661"/>
      <c r="G86" s="1661"/>
      <c r="H86" s="780"/>
      <c r="I86" s="870"/>
      <c r="J86" s="870">
        <f>SUM(J77:J85)</f>
        <v>714000</v>
      </c>
      <c r="K86" s="870"/>
      <c r="L86" s="870">
        <f>SUM(L77:L85)</f>
        <v>0</v>
      </c>
      <c r="M86" s="870"/>
      <c r="N86" s="870">
        <f>SUM(N77:N85)</f>
        <v>605640</v>
      </c>
      <c r="O86" s="869"/>
      <c r="P86" s="870">
        <f>SUM(P77:P85)</f>
        <v>120000</v>
      </c>
      <c r="Q86" s="869"/>
      <c r="R86" s="870">
        <f>SUM(R77:R85)</f>
        <v>1439640</v>
      </c>
      <c r="S86" s="869"/>
      <c r="T86" s="870">
        <f>SUM(T77:T85)</f>
        <v>2125500</v>
      </c>
      <c r="U86" s="869"/>
      <c r="V86" s="870">
        <f>SUM(V77:V85)</f>
        <v>2125500</v>
      </c>
      <c r="W86" s="869"/>
      <c r="X86" s="870">
        <f>SUM(X77:X85)</f>
        <v>143500</v>
      </c>
      <c r="Y86" s="869"/>
      <c r="Z86" s="870">
        <f t="shared" ref="Z86:AA86" si="103">SUM(Z77:Z85)</f>
        <v>2810000</v>
      </c>
      <c r="AA86" s="870">
        <f t="shared" si="103"/>
        <v>165000</v>
      </c>
      <c r="AB86" s="870"/>
      <c r="AC86" s="885">
        <f t="shared" ref="AC86:AE86" si="104">SUM(AC77:AC85)</f>
        <v>99000</v>
      </c>
      <c r="AD86" s="870">
        <f t="shared" si="104"/>
        <v>7468500</v>
      </c>
      <c r="AE86" s="870">
        <f t="shared" si="104"/>
        <v>8908140</v>
      </c>
    </row>
    <row r="87" spans="1:31" s="756" customFormat="1" ht="76.5">
      <c r="A87" s="1736" t="s">
        <v>1013</v>
      </c>
      <c r="B87" s="1736"/>
      <c r="C87" s="1736"/>
      <c r="D87" s="1736"/>
      <c r="E87" s="1736"/>
      <c r="F87" s="1736"/>
      <c r="G87" s="1736"/>
      <c r="H87" s="1736"/>
      <c r="I87" s="1736"/>
      <c r="J87" s="1736"/>
      <c r="K87" s="1736"/>
      <c r="L87" s="1736"/>
      <c r="M87" s="1736"/>
      <c r="N87" s="1736"/>
      <c r="O87" s="1736"/>
      <c r="P87" s="1736"/>
      <c r="Q87" s="1736"/>
      <c r="R87" s="1736"/>
      <c r="S87" s="1736"/>
      <c r="T87" s="1736"/>
      <c r="U87" s="1736"/>
      <c r="V87" s="1736"/>
      <c r="W87" s="1736"/>
      <c r="X87" s="1736"/>
      <c r="Y87" s="1736"/>
      <c r="Z87" s="1736"/>
      <c r="AA87" s="1736"/>
      <c r="AB87" s="1736"/>
      <c r="AC87" s="1736"/>
      <c r="AD87" s="1736"/>
      <c r="AE87" s="1736"/>
    </row>
    <row r="88" spans="1:31" s="756" customFormat="1" ht="352.5">
      <c r="A88" s="769">
        <v>65</v>
      </c>
      <c r="B88" s="769">
        <v>1</v>
      </c>
      <c r="C88" s="795" t="s">
        <v>1014</v>
      </c>
      <c r="D88" s="761" t="s">
        <v>952</v>
      </c>
      <c r="E88" s="767" t="s">
        <v>1015</v>
      </c>
      <c r="F88" s="767">
        <v>14</v>
      </c>
      <c r="G88" s="871"/>
      <c r="H88" s="791">
        <v>2</v>
      </c>
      <c r="I88" s="767"/>
      <c r="J88" s="768"/>
      <c r="K88" s="767"/>
      <c r="L88" s="767"/>
      <c r="M88" s="769"/>
      <c r="N88" s="769"/>
      <c r="O88" s="769"/>
      <c r="P88" s="769"/>
      <c r="Q88" s="769"/>
      <c r="R88" s="769"/>
      <c r="S88" s="761">
        <v>25000</v>
      </c>
      <c r="T88" s="767">
        <f t="shared" ref="T88" si="105">S88*F88*(G88+H88)</f>
        <v>700000</v>
      </c>
      <c r="U88" s="761">
        <v>20000</v>
      </c>
      <c r="V88" s="767">
        <f>U88*F88*(G88+H88)</f>
        <v>560000</v>
      </c>
      <c r="W88" s="761">
        <v>14000</v>
      </c>
      <c r="X88" s="767">
        <f>W88*(G88+H88)</f>
        <v>28000</v>
      </c>
      <c r="Y88" s="761">
        <v>350000</v>
      </c>
      <c r="Z88" s="767">
        <f>Y88*(G88+H88)</f>
        <v>700000</v>
      </c>
      <c r="AA88" s="761"/>
      <c r="AB88" s="761"/>
      <c r="AC88" s="761"/>
      <c r="AD88" s="762">
        <f>T88+V88+X88+Z88+AA88+AB88+AC88</f>
        <v>1988000</v>
      </c>
      <c r="AE88" s="762">
        <f>AD88+R88</f>
        <v>1988000</v>
      </c>
    </row>
    <row r="89" spans="1:31" s="756" customFormat="1" ht="409.5">
      <c r="A89" s="769">
        <v>66</v>
      </c>
      <c r="B89" s="769">
        <v>2</v>
      </c>
      <c r="C89" s="795" t="s">
        <v>1002</v>
      </c>
      <c r="D89" s="761" t="s">
        <v>918</v>
      </c>
      <c r="E89" s="767" t="s">
        <v>1016</v>
      </c>
      <c r="F89" s="791">
        <v>14</v>
      </c>
      <c r="G89" s="871"/>
      <c r="H89" s="791">
        <v>2</v>
      </c>
      <c r="I89" s="767"/>
      <c r="J89" s="768"/>
      <c r="K89" s="767">
        <f>3450*2.5</f>
        <v>8625</v>
      </c>
      <c r="L89" s="767">
        <f t="shared" ref="L89:L90" si="106">K89*F89*G89</f>
        <v>0</v>
      </c>
      <c r="M89" s="769">
        <f>3605*2</f>
        <v>7210</v>
      </c>
      <c r="N89" s="769">
        <f t="shared" ref="N89:N90" si="107">M89*H89*F89</f>
        <v>201880</v>
      </c>
      <c r="O89" s="769">
        <v>10000</v>
      </c>
      <c r="P89" s="129">
        <f t="shared" ref="P89:P90" si="108">O89*H89*2</f>
        <v>40000</v>
      </c>
      <c r="Q89" s="769"/>
      <c r="R89" s="769">
        <f t="shared" ref="R89:R90" si="109">SUM(J89+L89+N89+P89)+Q89</f>
        <v>241880</v>
      </c>
      <c r="S89" s="769"/>
      <c r="T89" s="769"/>
      <c r="U89" s="769"/>
      <c r="V89" s="769"/>
      <c r="W89" s="769"/>
      <c r="X89" s="769"/>
      <c r="Y89" s="769"/>
      <c r="Z89" s="769"/>
      <c r="AA89" s="769"/>
      <c r="AB89" s="769"/>
      <c r="AC89" s="769"/>
      <c r="AD89" s="762"/>
      <c r="AE89" s="762">
        <f t="shared" ref="AE89:AE94" si="110">AD89+R89</f>
        <v>241880</v>
      </c>
    </row>
    <row r="90" spans="1:31" s="756" customFormat="1" ht="352.5">
      <c r="A90" s="769">
        <v>67</v>
      </c>
      <c r="B90" s="769">
        <v>3</v>
      </c>
      <c r="C90" s="795" t="s">
        <v>1017</v>
      </c>
      <c r="D90" s="761" t="s">
        <v>1018</v>
      </c>
      <c r="E90" s="767" t="s">
        <v>1016</v>
      </c>
      <c r="F90" s="791">
        <v>14</v>
      </c>
      <c r="G90" s="871"/>
      <c r="H90" s="791">
        <v>2</v>
      </c>
      <c r="I90" s="767"/>
      <c r="J90" s="768"/>
      <c r="K90" s="767">
        <f>3450*2.5</f>
        <v>8625</v>
      </c>
      <c r="L90" s="767">
        <f t="shared" si="106"/>
        <v>0</v>
      </c>
      <c r="M90" s="769">
        <f>3605*2</f>
        <v>7210</v>
      </c>
      <c r="N90" s="769">
        <f t="shared" si="107"/>
        <v>201880</v>
      </c>
      <c r="O90" s="769">
        <v>10000</v>
      </c>
      <c r="P90" s="129">
        <f t="shared" si="108"/>
        <v>40000</v>
      </c>
      <c r="Q90" s="769"/>
      <c r="R90" s="769">
        <f t="shared" si="109"/>
        <v>241880</v>
      </c>
      <c r="S90" s="769"/>
      <c r="T90" s="769"/>
      <c r="U90" s="769"/>
      <c r="V90" s="769"/>
      <c r="W90" s="769"/>
      <c r="X90" s="769"/>
      <c r="Y90" s="769"/>
      <c r="Z90" s="769"/>
      <c r="AA90" s="769"/>
      <c r="AB90" s="769"/>
      <c r="AC90" s="769"/>
      <c r="AD90" s="762"/>
      <c r="AE90" s="762">
        <f t="shared" si="110"/>
        <v>241880</v>
      </c>
    </row>
    <row r="91" spans="1:31" s="756" customFormat="1" ht="211.5">
      <c r="A91" s="769">
        <v>68</v>
      </c>
      <c r="B91" s="769">
        <v>4</v>
      </c>
      <c r="C91" s="795" t="s">
        <v>902</v>
      </c>
      <c r="D91" s="761" t="s">
        <v>906</v>
      </c>
      <c r="E91" s="767" t="s">
        <v>353</v>
      </c>
      <c r="F91" s="767">
        <v>6</v>
      </c>
      <c r="G91" s="871"/>
      <c r="H91" s="791">
        <v>1</v>
      </c>
      <c r="I91" s="767"/>
      <c r="J91" s="768"/>
      <c r="K91" s="767"/>
      <c r="L91" s="767"/>
      <c r="M91" s="769"/>
      <c r="N91" s="769"/>
      <c r="O91" s="769"/>
      <c r="P91" s="769"/>
      <c r="Q91" s="769"/>
      <c r="R91" s="769"/>
      <c r="S91" s="761">
        <v>25000</v>
      </c>
      <c r="T91" s="767">
        <f t="shared" ref="T91" si="111">S91*F91*(G91+H91)</f>
        <v>150000</v>
      </c>
      <c r="U91" s="761">
        <v>20000</v>
      </c>
      <c r="V91" s="767">
        <f>U91*F91*(G91+H91)</f>
        <v>120000</v>
      </c>
      <c r="W91" s="761">
        <v>14000</v>
      </c>
      <c r="X91" s="767">
        <f>W91*(G91+H91)</f>
        <v>14000</v>
      </c>
      <c r="Y91" s="761">
        <v>350000</v>
      </c>
      <c r="Z91" s="767">
        <f>Y91*(G91+H91)</f>
        <v>350000</v>
      </c>
      <c r="AA91" s="761">
        <f t="shared" ref="AA91" si="112">55000*(G91+H91)</f>
        <v>55000</v>
      </c>
      <c r="AB91" s="761"/>
      <c r="AC91" s="761"/>
      <c r="AD91" s="762">
        <f>T91+V91+X91+Z91+AA91+AB91+AC91</f>
        <v>689000</v>
      </c>
      <c r="AE91" s="762">
        <f t="shared" si="110"/>
        <v>689000</v>
      </c>
    </row>
    <row r="92" spans="1:31" s="756" customFormat="1" ht="409.5">
      <c r="A92" s="769">
        <v>69</v>
      </c>
      <c r="B92" s="769">
        <v>5</v>
      </c>
      <c r="C92" s="795" t="s">
        <v>1019</v>
      </c>
      <c r="D92" s="761" t="s">
        <v>912</v>
      </c>
      <c r="E92" s="767" t="s">
        <v>1004</v>
      </c>
      <c r="F92" s="791">
        <v>14</v>
      </c>
      <c r="G92" s="871"/>
      <c r="H92" s="791">
        <v>2</v>
      </c>
      <c r="I92" s="767">
        <v>8500</v>
      </c>
      <c r="J92" s="768">
        <f>(G92+H92)*I92*F92</f>
        <v>238000</v>
      </c>
      <c r="K92" s="767">
        <f>3450*2.5</f>
        <v>8625</v>
      </c>
      <c r="L92" s="767">
        <f>K92*F92*G92</f>
        <v>0</v>
      </c>
      <c r="M92" s="769">
        <f>3605*2</f>
        <v>7210</v>
      </c>
      <c r="N92" s="769">
        <f t="shared" ref="N92" si="113">M92*H92*F92</f>
        <v>201880</v>
      </c>
      <c r="O92" s="769">
        <v>10000</v>
      </c>
      <c r="P92" s="129">
        <f t="shared" ref="P92" si="114">O92*H92*2</f>
        <v>40000</v>
      </c>
      <c r="Q92" s="769"/>
      <c r="R92" s="769">
        <f>SUM(J92+L92+N92+P92)+Q92</f>
        <v>479880</v>
      </c>
      <c r="S92" s="769"/>
      <c r="T92" s="769"/>
      <c r="U92" s="769"/>
      <c r="V92" s="769"/>
      <c r="W92" s="769"/>
      <c r="X92" s="769"/>
      <c r="Y92" s="769"/>
      <c r="Z92" s="769"/>
      <c r="AA92" s="769"/>
      <c r="AB92" s="769"/>
      <c r="AC92" s="769"/>
      <c r="AD92" s="762"/>
      <c r="AE92" s="762">
        <f t="shared" si="110"/>
        <v>479880</v>
      </c>
    </row>
    <row r="93" spans="1:31" s="756" customFormat="1" ht="211.5">
      <c r="A93" s="769">
        <v>70</v>
      </c>
      <c r="B93" s="769">
        <v>6</v>
      </c>
      <c r="C93" s="795" t="s">
        <v>1020</v>
      </c>
      <c r="D93" s="761" t="s">
        <v>912</v>
      </c>
      <c r="E93" s="767" t="s">
        <v>910</v>
      </c>
      <c r="F93" s="125">
        <v>7</v>
      </c>
      <c r="G93" s="871"/>
      <c r="H93" s="808">
        <v>2</v>
      </c>
      <c r="I93" s="125"/>
      <c r="J93" s="126"/>
      <c r="K93" s="125"/>
      <c r="L93" s="125"/>
      <c r="M93" s="129"/>
      <c r="N93" s="129"/>
      <c r="O93" s="129"/>
      <c r="P93" s="129"/>
      <c r="Q93" s="129"/>
      <c r="R93" s="129"/>
      <c r="S93" s="798">
        <v>43500</v>
      </c>
      <c r="T93" s="767">
        <f t="shared" ref="T93" si="115">S93*F93*(G93+H93)</f>
        <v>609000</v>
      </c>
      <c r="U93" s="798">
        <v>43500</v>
      </c>
      <c r="V93" s="767">
        <f>U93*F93*(G93+H93)</f>
        <v>609000</v>
      </c>
      <c r="W93" s="798">
        <v>14700</v>
      </c>
      <c r="X93" s="767">
        <f>W93*(G93+H93)</f>
        <v>29400</v>
      </c>
      <c r="Y93" s="798">
        <v>450000</v>
      </c>
      <c r="Z93" s="767">
        <f>Y93*(G93+H93)</f>
        <v>900000</v>
      </c>
      <c r="AA93" s="761">
        <f t="shared" ref="AA93" si="116">55000*(G93+H93)</f>
        <v>110000</v>
      </c>
      <c r="AB93" s="798"/>
      <c r="AC93" s="761"/>
      <c r="AD93" s="762">
        <f>T93+V93+X93+Z93+AA93+AB93+AC93</f>
        <v>2257400</v>
      </c>
      <c r="AE93" s="762">
        <f t="shared" si="110"/>
        <v>2257400</v>
      </c>
    </row>
    <row r="94" spans="1:31" s="756" customFormat="1" ht="409.5">
      <c r="A94" s="769">
        <v>71</v>
      </c>
      <c r="B94" s="769">
        <v>7</v>
      </c>
      <c r="C94" s="795" t="s">
        <v>1021</v>
      </c>
      <c r="D94" s="761" t="s">
        <v>1022</v>
      </c>
      <c r="E94" s="767" t="s">
        <v>1004</v>
      </c>
      <c r="F94" s="791">
        <v>18</v>
      </c>
      <c r="G94" s="871"/>
      <c r="H94" s="791">
        <v>3</v>
      </c>
      <c r="I94" s="767">
        <v>8500</v>
      </c>
      <c r="J94" s="768">
        <f>(G94+H94)*I94*F94</f>
        <v>459000</v>
      </c>
      <c r="K94" s="767">
        <f>3450*2.5</f>
        <v>8625</v>
      </c>
      <c r="L94" s="767">
        <f>K94*F94*G94</f>
        <v>0</v>
      </c>
      <c r="M94" s="769">
        <f>3605*2</f>
        <v>7210</v>
      </c>
      <c r="N94" s="769">
        <f t="shared" ref="N94" si="117">M94*H94*F94</f>
        <v>389340</v>
      </c>
      <c r="O94" s="769">
        <v>10000</v>
      </c>
      <c r="P94" s="129">
        <f t="shared" ref="P94" si="118">O94*H94*2</f>
        <v>60000</v>
      </c>
      <c r="Q94" s="769"/>
      <c r="R94" s="769">
        <f>SUM(J94+L94+N94+P94)+Q94</f>
        <v>908340</v>
      </c>
      <c r="S94" s="769"/>
      <c r="T94" s="769"/>
      <c r="U94" s="769"/>
      <c r="V94" s="769"/>
      <c r="W94" s="769"/>
      <c r="X94" s="769"/>
      <c r="Y94" s="769"/>
      <c r="Z94" s="769"/>
      <c r="AA94" s="769"/>
      <c r="AB94" s="769"/>
      <c r="AC94" s="769"/>
      <c r="AD94" s="762"/>
      <c r="AE94" s="762">
        <f t="shared" si="110"/>
        <v>908340</v>
      </c>
    </row>
    <row r="95" spans="1:31" s="756" customFormat="1" ht="211.5">
      <c r="A95" s="769">
        <v>72</v>
      </c>
      <c r="B95" s="768">
        <v>8</v>
      </c>
      <c r="C95" s="795" t="s">
        <v>1023</v>
      </c>
      <c r="D95" s="761" t="s">
        <v>1024</v>
      </c>
      <c r="E95" s="767" t="s">
        <v>927</v>
      </c>
      <c r="F95" s="767">
        <v>7</v>
      </c>
      <c r="G95" s="871"/>
      <c r="H95" s="791">
        <v>2</v>
      </c>
      <c r="I95" s="767"/>
      <c r="J95" s="768"/>
      <c r="K95" s="767"/>
      <c r="L95" s="767"/>
      <c r="M95" s="769"/>
      <c r="N95" s="769"/>
      <c r="O95" s="769"/>
      <c r="P95" s="769"/>
      <c r="Q95" s="769"/>
      <c r="R95" s="769"/>
      <c r="S95" s="761">
        <v>43500</v>
      </c>
      <c r="T95" s="767">
        <f t="shared" ref="T95" si="119">S95*F95*(G95+H95)</f>
        <v>609000</v>
      </c>
      <c r="U95" s="761">
        <v>43500</v>
      </c>
      <c r="V95" s="767">
        <f>U95*F95*(G95+H95)</f>
        <v>609000</v>
      </c>
      <c r="W95" s="761">
        <v>18500</v>
      </c>
      <c r="X95" s="767">
        <f>W95*(G95+H95)</f>
        <v>37000</v>
      </c>
      <c r="Y95" s="761">
        <v>450000</v>
      </c>
      <c r="Z95" s="767">
        <f>Y95*(G95+H95)</f>
        <v>900000</v>
      </c>
      <c r="AA95" s="761">
        <f t="shared" ref="AA95" si="120">55000*(G95+H95)</f>
        <v>110000</v>
      </c>
      <c r="AB95" s="761"/>
      <c r="AC95" s="761">
        <f>45000*G95</f>
        <v>0</v>
      </c>
      <c r="AD95" s="762">
        <f>T95+V95+X95+Z95+AA95+AB95+AC95</f>
        <v>2265000</v>
      </c>
      <c r="AE95" s="762">
        <f>AD95+R95</f>
        <v>2265000</v>
      </c>
    </row>
    <row r="96" spans="1:31" s="756" customFormat="1" ht="76.5">
      <c r="A96" s="1661" t="s">
        <v>886</v>
      </c>
      <c r="B96" s="1661"/>
      <c r="C96" s="1661"/>
      <c r="D96" s="1661"/>
      <c r="E96" s="1661"/>
      <c r="F96" s="1661"/>
      <c r="G96" s="1661"/>
      <c r="H96" s="1661"/>
      <c r="I96" s="870"/>
      <c r="J96" s="870">
        <f>SUM(J88:J95)</f>
        <v>697000</v>
      </c>
      <c r="K96" s="870"/>
      <c r="L96" s="870">
        <f>SUM(L88:L95)</f>
        <v>0</v>
      </c>
      <c r="M96" s="870"/>
      <c r="N96" s="870">
        <f>SUM(N88:N95)</f>
        <v>994980</v>
      </c>
      <c r="O96" s="869"/>
      <c r="P96" s="870">
        <f>SUM(P88:P95)</f>
        <v>180000</v>
      </c>
      <c r="Q96" s="869"/>
      <c r="R96" s="870">
        <f>SUM(R88:R95)</f>
        <v>1871980</v>
      </c>
      <c r="S96" s="869"/>
      <c r="T96" s="870">
        <f>SUM(T88:T95)</f>
        <v>2068000</v>
      </c>
      <c r="U96" s="869"/>
      <c r="V96" s="870">
        <f>SUM(V88:V95)</f>
        <v>1898000</v>
      </c>
      <c r="W96" s="869"/>
      <c r="X96" s="870">
        <f>SUM(X88:X95)</f>
        <v>108400</v>
      </c>
      <c r="Y96" s="869"/>
      <c r="Z96" s="870">
        <f t="shared" ref="Z96:AA96" si="121">SUM(Z88:Z95)</f>
        <v>2850000</v>
      </c>
      <c r="AA96" s="870">
        <f t="shared" si="121"/>
        <v>275000</v>
      </c>
      <c r="AB96" s="870"/>
      <c r="AC96" s="885">
        <f t="shared" ref="AC96:AE96" si="122">SUM(AC88:AC95)</f>
        <v>0</v>
      </c>
      <c r="AD96" s="870">
        <f t="shared" si="122"/>
        <v>7199400</v>
      </c>
      <c r="AE96" s="870">
        <f t="shared" si="122"/>
        <v>9071380</v>
      </c>
    </row>
    <row r="97" spans="1:39" s="756" customFormat="1" ht="76.5">
      <c r="A97" s="1736" t="s">
        <v>1025</v>
      </c>
      <c r="B97" s="1736"/>
      <c r="C97" s="1736"/>
      <c r="D97" s="1736"/>
      <c r="E97" s="1736"/>
      <c r="F97" s="1736"/>
      <c r="G97" s="1736"/>
      <c r="H97" s="1736"/>
      <c r="I97" s="1736"/>
      <c r="J97" s="1736"/>
      <c r="K97" s="1736"/>
      <c r="L97" s="1736"/>
      <c r="M97" s="1736"/>
      <c r="N97" s="1736"/>
      <c r="O97" s="1736"/>
      <c r="P97" s="1736"/>
      <c r="Q97" s="1736"/>
      <c r="R97" s="1736"/>
      <c r="S97" s="1736"/>
      <c r="T97" s="1736"/>
      <c r="U97" s="1736"/>
      <c r="V97" s="1736"/>
      <c r="W97" s="1736"/>
      <c r="X97" s="1736"/>
      <c r="Y97" s="1736"/>
      <c r="Z97" s="1736"/>
      <c r="AA97" s="1736"/>
      <c r="AB97" s="1736"/>
      <c r="AC97" s="1736"/>
      <c r="AD97" s="1736"/>
      <c r="AE97" s="1736"/>
    </row>
    <row r="98" spans="1:39" s="756" customFormat="1" ht="409.5">
      <c r="A98" s="129">
        <v>83</v>
      </c>
      <c r="B98" s="810">
        <v>1</v>
      </c>
      <c r="C98" s="795" t="s">
        <v>1069</v>
      </c>
      <c r="D98" s="767" t="s">
        <v>930</v>
      </c>
      <c r="E98" s="767" t="s">
        <v>1028</v>
      </c>
      <c r="F98" s="125">
        <v>18</v>
      </c>
      <c r="G98" s="874"/>
      <c r="H98" s="810">
        <v>2</v>
      </c>
      <c r="I98" s="125">
        <v>8500</v>
      </c>
      <c r="J98" s="768">
        <f t="shared" ref="J98" si="123">(G98+H98)*I98*F98</f>
        <v>306000</v>
      </c>
      <c r="K98" s="125">
        <v>8625</v>
      </c>
      <c r="L98" s="767">
        <f t="shared" ref="L98" si="124">K98*F98*G98</f>
        <v>0</v>
      </c>
      <c r="M98" s="769">
        <f>3605*2</f>
        <v>7210</v>
      </c>
      <c r="N98" s="769">
        <f t="shared" ref="N98:N99" si="125">M98*H98*F98</f>
        <v>259560</v>
      </c>
      <c r="O98" s="129">
        <v>10000</v>
      </c>
      <c r="P98" s="129">
        <f t="shared" ref="P98:P99" si="126">O98*H98*2</f>
        <v>40000</v>
      </c>
      <c r="Q98" s="811"/>
      <c r="R98" s="769">
        <f>SUM(J98+L98+N98+P98)+Q98</f>
        <v>605560</v>
      </c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769"/>
      <c r="AD98" s="769"/>
      <c r="AE98" s="782">
        <f>R98+AD98</f>
        <v>605560</v>
      </c>
    </row>
    <row r="99" spans="1:39" s="756" customFormat="1" ht="409.5">
      <c r="A99" s="769">
        <v>73</v>
      </c>
      <c r="B99" s="810">
        <v>2</v>
      </c>
      <c r="C99" s="795" t="s">
        <v>1026</v>
      </c>
      <c r="D99" s="767" t="s">
        <v>1027</v>
      </c>
      <c r="E99" s="125" t="s">
        <v>1028</v>
      </c>
      <c r="F99" s="125">
        <v>14</v>
      </c>
      <c r="G99" s="874"/>
      <c r="H99" s="810">
        <v>1</v>
      </c>
      <c r="I99" s="125">
        <v>8500</v>
      </c>
      <c r="J99" s="768">
        <f>(G99+H99)*I99*F99</f>
        <v>119000</v>
      </c>
      <c r="K99" s="125">
        <v>8625</v>
      </c>
      <c r="L99" s="767">
        <f>K99*F99*G99</f>
        <v>0</v>
      </c>
      <c r="M99" s="769">
        <f>3605*2</f>
        <v>7210</v>
      </c>
      <c r="N99" s="769">
        <f t="shared" si="125"/>
        <v>100940</v>
      </c>
      <c r="O99" s="129">
        <v>10000</v>
      </c>
      <c r="P99" s="129">
        <f t="shared" si="126"/>
        <v>20000</v>
      </c>
      <c r="Q99" s="811"/>
      <c r="R99" s="769">
        <f>SUM(J99+L99+N99+P99)+Q99</f>
        <v>239940</v>
      </c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769"/>
      <c r="AD99" s="769"/>
      <c r="AE99" s="762">
        <f>AD99+R99</f>
        <v>239940</v>
      </c>
    </row>
    <row r="100" spans="1:39" s="756" customFormat="1" ht="409.5">
      <c r="A100" s="769">
        <v>74</v>
      </c>
      <c r="B100" s="810">
        <v>3</v>
      </c>
      <c r="C100" s="795" t="s">
        <v>1029</v>
      </c>
      <c r="D100" s="767" t="s">
        <v>1030</v>
      </c>
      <c r="E100" s="767" t="s">
        <v>1031</v>
      </c>
      <c r="F100" s="767">
        <v>14</v>
      </c>
      <c r="G100" s="874"/>
      <c r="H100" s="784">
        <v>2</v>
      </c>
      <c r="I100" s="767"/>
      <c r="J100" s="768"/>
      <c r="K100" s="767"/>
      <c r="L100" s="785"/>
      <c r="M100" s="769"/>
      <c r="N100" s="786"/>
      <c r="O100" s="769"/>
      <c r="P100" s="786"/>
      <c r="Q100" s="785"/>
      <c r="R100" s="786"/>
      <c r="S100" s="126">
        <v>17500</v>
      </c>
      <c r="T100" s="767">
        <f t="shared" ref="T100" si="127">S100*F100*(G100+H100)</f>
        <v>490000</v>
      </c>
      <c r="U100" s="126">
        <v>17500</v>
      </c>
      <c r="V100" s="767">
        <f>U100*F100*(G100+H100)</f>
        <v>490000</v>
      </c>
      <c r="W100" s="125">
        <v>34100</v>
      </c>
      <c r="X100" s="767">
        <f>W100*(G100+H100)</f>
        <v>68200</v>
      </c>
      <c r="Y100" s="812">
        <v>350000</v>
      </c>
      <c r="Z100" s="767">
        <f>Y100*(G100+H100)</f>
        <v>700000</v>
      </c>
      <c r="AA100" s="761">
        <f t="shared" ref="AA100" si="128">55000*(G100+H100)</f>
        <v>110000</v>
      </c>
      <c r="AB100" s="125"/>
      <c r="AC100" s="761">
        <f>45000*G100</f>
        <v>0</v>
      </c>
      <c r="AD100" s="762">
        <f>T100+V100+X100+Z100+AA100+AB100+AC100</f>
        <v>1858200</v>
      </c>
      <c r="AE100" s="762">
        <f t="shared" ref="AE100:AE108" si="129">AD100+R100</f>
        <v>1858200</v>
      </c>
    </row>
    <row r="101" spans="1:39" s="756" customFormat="1" ht="409.5">
      <c r="A101" s="769">
        <v>75</v>
      </c>
      <c r="B101" s="810">
        <v>4</v>
      </c>
      <c r="C101" s="813" t="s">
        <v>905</v>
      </c>
      <c r="D101" s="767" t="s">
        <v>1032</v>
      </c>
      <c r="E101" s="125" t="s">
        <v>1028</v>
      </c>
      <c r="F101" s="125">
        <v>14</v>
      </c>
      <c r="G101" s="874"/>
      <c r="H101" s="810">
        <v>2</v>
      </c>
      <c r="I101" s="125">
        <v>8500</v>
      </c>
      <c r="J101" s="768">
        <f t="shared" ref="J101:J102" si="130">(G101+H101)*I101*F101</f>
        <v>238000</v>
      </c>
      <c r="K101" s="125">
        <v>8625</v>
      </c>
      <c r="L101" s="767">
        <f t="shared" ref="L101:L102" si="131">K101*F101*G101</f>
        <v>0</v>
      </c>
      <c r="M101" s="769">
        <f>3605*2</f>
        <v>7210</v>
      </c>
      <c r="N101" s="769">
        <f t="shared" ref="N101:N102" si="132">M101*H101*F101</f>
        <v>201880</v>
      </c>
      <c r="O101" s="129">
        <v>10000</v>
      </c>
      <c r="P101" s="129">
        <f t="shared" ref="P101:P102" si="133">O101*H101*2</f>
        <v>40000</v>
      </c>
      <c r="Q101" s="811"/>
      <c r="R101" s="769">
        <f t="shared" ref="R101:R102" si="134">SUM(J101+L101+N101+P101)+Q101</f>
        <v>479880</v>
      </c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769"/>
      <c r="AD101" s="769"/>
      <c r="AE101" s="762">
        <f t="shared" si="129"/>
        <v>479880</v>
      </c>
    </row>
    <row r="102" spans="1:39" s="756" customFormat="1" ht="409.5">
      <c r="A102" s="769">
        <v>76</v>
      </c>
      <c r="B102" s="810">
        <v>5</v>
      </c>
      <c r="C102" s="813" t="s">
        <v>1033</v>
      </c>
      <c r="D102" s="767" t="s">
        <v>923</v>
      </c>
      <c r="E102" s="125" t="s">
        <v>1028</v>
      </c>
      <c r="F102" s="125">
        <v>14</v>
      </c>
      <c r="G102" s="874"/>
      <c r="H102" s="810">
        <v>2</v>
      </c>
      <c r="I102" s="125">
        <v>8500</v>
      </c>
      <c r="J102" s="768">
        <f t="shared" si="130"/>
        <v>238000</v>
      </c>
      <c r="K102" s="125">
        <v>8625</v>
      </c>
      <c r="L102" s="767">
        <f t="shared" si="131"/>
        <v>0</v>
      </c>
      <c r="M102" s="769">
        <f>3605*2</f>
        <v>7210</v>
      </c>
      <c r="N102" s="769">
        <f t="shared" si="132"/>
        <v>201880</v>
      </c>
      <c r="O102" s="129">
        <v>10000</v>
      </c>
      <c r="P102" s="129">
        <f t="shared" si="133"/>
        <v>40000</v>
      </c>
      <c r="Q102" s="811"/>
      <c r="R102" s="769">
        <f t="shared" si="134"/>
        <v>479880</v>
      </c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769"/>
      <c r="AD102" s="769"/>
      <c r="AE102" s="762">
        <f t="shared" si="129"/>
        <v>479880</v>
      </c>
    </row>
    <row r="103" spans="1:39" s="756" customFormat="1" ht="282">
      <c r="A103" s="769">
        <v>77</v>
      </c>
      <c r="B103" s="810">
        <v>6</v>
      </c>
      <c r="C103" s="813" t="s">
        <v>1034</v>
      </c>
      <c r="D103" s="125" t="s">
        <v>1035</v>
      </c>
      <c r="E103" s="767" t="s">
        <v>1036</v>
      </c>
      <c r="F103" s="125">
        <v>7</v>
      </c>
      <c r="G103" s="874"/>
      <c r="H103" s="810">
        <v>2</v>
      </c>
      <c r="I103" s="125"/>
      <c r="J103" s="126"/>
      <c r="K103" s="125"/>
      <c r="L103" s="125"/>
      <c r="M103" s="129"/>
      <c r="N103" s="129"/>
      <c r="O103" s="129"/>
      <c r="P103" s="129"/>
      <c r="Q103" s="811"/>
      <c r="R103" s="769"/>
      <c r="S103" s="787">
        <v>43500</v>
      </c>
      <c r="T103" s="767">
        <f t="shared" ref="T103" si="135">S103*F103*(G103+H103)</f>
        <v>609000</v>
      </c>
      <c r="U103" s="787">
        <v>43500</v>
      </c>
      <c r="V103" s="767">
        <f>U103*F103*(G103+H103)</f>
        <v>609000</v>
      </c>
      <c r="W103" s="787">
        <v>14700</v>
      </c>
      <c r="X103" s="767">
        <f>W103*(G103+H103)</f>
        <v>29400</v>
      </c>
      <c r="Y103" s="788">
        <v>450000</v>
      </c>
      <c r="Z103" s="767">
        <f>Y103*(G103+H103)</f>
        <v>900000</v>
      </c>
      <c r="AA103" s="761">
        <f t="shared" ref="AA103" si="136">55000*(G103+H103)</f>
        <v>110000</v>
      </c>
      <c r="AB103" s="787"/>
      <c r="AC103" s="761">
        <f>45000*G103</f>
        <v>0</v>
      </c>
      <c r="AD103" s="762">
        <f>T103+V103+X103+Z103+AA103+AB103+AC103</f>
        <v>2257400</v>
      </c>
      <c r="AE103" s="762">
        <f t="shared" si="129"/>
        <v>2257400</v>
      </c>
    </row>
    <row r="104" spans="1:39" s="756" customFormat="1" ht="409.5">
      <c r="A104" s="769">
        <v>78</v>
      </c>
      <c r="B104" s="810">
        <v>7</v>
      </c>
      <c r="C104" s="813" t="s">
        <v>1037</v>
      </c>
      <c r="D104" s="767" t="s">
        <v>1038</v>
      </c>
      <c r="E104" s="125" t="s">
        <v>1028</v>
      </c>
      <c r="F104" s="125">
        <v>14</v>
      </c>
      <c r="G104" s="874"/>
      <c r="H104" s="810">
        <v>2</v>
      </c>
      <c r="I104" s="125">
        <v>8500</v>
      </c>
      <c r="J104" s="768">
        <f t="shared" ref="J104:J105" si="137">(G104+H104)*I104*F104</f>
        <v>238000</v>
      </c>
      <c r="K104" s="125">
        <v>8625</v>
      </c>
      <c r="L104" s="767">
        <f t="shared" ref="L104:L105" si="138">K104*F104*G104</f>
        <v>0</v>
      </c>
      <c r="M104" s="769">
        <f>3605*2</f>
        <v>7210</v>
      </c>
      <c r="N104" s="769">
        <f t="shared" ref="N104:N105" si="139">M104*H104*F104</f>
        <v>201880</v>
      </c>
      <c r="O104" s="129">
        <v>10000</v>
      </c>
      <c r="P104" s="129">
        <f t="shared" ref="P104:P105" si="140">O104*H104*2</f>
        <v>40000</v>
      </c>
      <c r="Q104" s="811"/>
      <c r="R104" s="769">
        <f t="shared" ref="R104:R105" si="141">SUM(J104+L104+N104+P104)+Q104</f>
        <v>479880</v>
      </c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769"/>
      <c r="AD104" s="769"/>
      <c r="AE104" s="762">
        <f t="shared" si="129"/>
        <v>479880</v>
      </c>
    </row>
    <row r="105" spans="1:39" s="756" customFormat="1" ht="409.5">
      <c r="A105" s="769">
        <v>79</v>
      </c>
      <c r="B105" s="810">
        <v>8</v>
      </c>
      <c r="C105" s="813" t="s">
        <v>1039</v>
      </c>
      <c r="D105" s="767" t="s">
        <v>925</v>
      </c>
      <c r="E105" s="125" t="s">
        <v>1028</v>
      </c>
      <c r="F105" s="125">
        <v>14</v>
      </c>
      <c r="G105" s="874"/>
      <c r="H105" s="810">
        <v>2</v>
      </c>
      <c r="I105" s="125">
        <v>8500</v>
      </c>
      <c r="J105" s="768">
        <f t="shared" si="137"/>
        <v>238000</v>
      </c>
      <c r="K105" s="125">
        <v>8625</v>
      </c>
      <c r="L105" s="767">
        <f t="shared" si="138"/>
        <v>0</v>
      </c>
      <c r="M105" s="769">
        <f>3605*2</f>
        <v>7210</v>
      </c>
      <c r="N105" s="769">
        <f t="shared" si="139"/>
        <v>201880</v>
      </c>
      <c r="O105" s="129">
        <v>10000</v>
      </c>
      <c r="P105" s="129">
        <f t="shared" si="140"/>
        <v>40000</v>
      </c>
      <c r="Q105" s="811"/>
      <c r="R105" s="769">
        <f t="shared" si="141"/>
        <v>479880</v>
      </c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769"/>
      <c r="AD105" s="769"/>
      <c r="AE105" s="762">
        <f>AD105+R105</f>
        <v>479880</v>
      </c>
    </row>
    <row r="106" spans="1:39" s="756" customFormat="1" ht="409.5">
      <c r="A106" s="769">
        <v>80</v>
      </c>
      <c r="B106" s="810">
        <v>9</v>
      </c>
      <c r="C106" s="813" t="s">
        <v>914</v>
      </c>
      <c r="D106" s="767" t="s">
        <v>1040</v>
      </c>
      <c r="E106" s="767" t="s">
        <v>927</v>
      </c>
      <c r="F106" s="125">
        <v>7</v>
      </c>
      <c r="G106" s="874"/>
      <c r="H106" s="810">
        <v>2</v>
      </c>
      <c r="I106" s="125"/>
      <c r="J106" s="126"/>
      <c r="K106" s="125"/>
      <c r="L106" s="125"/>
      <c r="M106" s="129"/>
      <c r="N106" s="129"/>
      <c r="O106" s="129"/>
      <c r="P106" s="129"/>
      <c r="Q106" s="811"/>
      <c r="R106" s="769"/>
      <c r="S106" s="787">
        <v>43500</v>
      </c>
      <c r="T106" s="767">
        <f t="shared" ref="T106" si="142">S106*F106*(G106+H106)</f>
        <v>609000</v>
      </c>
      <c r="U106" s="787">
        <v>43500</v>
      </c>
      <c r="V106" s="767">
        <f>U106*F106*(G106+H106)</f>
        <v>609000</v>
      </c>
      <c r="W106" s="787">
        <v>18500</v>
      </c>
      <c r="X106" s="767">
        <f>W106*(G106+H106)</f>
        <v>37000</v>
      </c>
      <c r="Y106" s="788">
        <v>450000</v>
      </c>
      <c r="Z106" s="767">
        <f>Y106*(G106+H106)</f>
        <v>900000</v>
      </c>
      <c r="AA106" s="761">
        <f t="shared" ref="AA106" si="143">55000*(G106+H106)</f>
        <v>110000</v>
      </c>
      <c r="AB106" s="787"/>
      <c r="AC106" s="761">
        <f>45000*G106</f>
        <v>0</v>
      </c>
      <c r="AD106" s="762">
        <f>T106+V106+X106+Z106+AA106+AB106+AC106</f>
        <v>2265000</v>
      </c>
      <c r="AE106" s="762">
        <f t="shared" si="129"/>
        <v>2265000</v>
      </c>
    </row>
    <row r="107" spans="1:39" s="756" customFormat="1" ht="409.5">
      <c r="A107" s="769">
        <v>81</v>
      </c>
      <c r="B107" s="810">
        <v>10</v>
      </c>
      <c r="C107" s="795" t="s">
        <v>1041</v>
      </c>
      <c r="D107" s="767" t="s">
        <v>1042</v>
      </c>
      <c r="E107" s="125" t="s">
        <v>1028</v>
      </c>
      <c r="F107" s="125">
        <v>14</v>
      </c>
      <c r="G107" s="874"/>
      <c r="H107" s="810">
        <v>1</v>
      </c>
      <c r="I107" s="125">
        <v>8500</v>
      </c>
      <c r="J107" s="768">
        <f>(G107+H107)*I107*F107</f>
        <v>119000</v>
      </c>
      <c r="K107" s="125">
        <v>8625</v>
      </c>
      <c r="L107" s="767">
        <f>K107*F107*G107</f>
        <v>0</v>
      </c>
      <c r="M107" s="769">
        <f>3605*2</f>
        <v>7210</v>
      </c>
      <c r="N107" s="769">
        <f t="shared" ref="N107" si="144">M107*H107*F107</f>
        <v>100940</v>
      </c>
      <c r="O107" s="129">
        <v>10000</v>
      </c>
      <c r="P107" s="129">
        <f t="shared" ref="P107" si="145">O107*H107*2</f>
        <v>20000</v>
      </c>
      <c r="Q107" s="811"/>
      <c r="R107" s="769">
        <f>SUM(J107+L107+N107+P107)+Q107</f>
        <v>239940</v>
      </c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769"/>
      <c r="AD107" s="769"/>
      <c r="AE107" s="762">
        <f t="shared" si="129"/>
        <v>239940</v>
      </c>
    </row>
    <row r="108" spans="1:39" s="756" customFormat="1" ht="352.5">
      <c r="A108" s="769">
        <v>82</v>
      </c>
      <c r="B108" s="810">
        <v>11</v>
      </c>
      <c r="C108" s="795" t="s">
        <v>902</v>
      </c>
      <c r="D108" s="767" t="s">
        <v>1043</v>
      </c>
      <c r="E108" s="767" t="s">
        <v>1044</v>
      </c>
      <c r="F108" s="125">
        <v>6</v>
      </c>
      <c r="G108" s="874"/>
      <c r="H108" s="810">
        <v>1</v>
      </c>
      <c r="I108" s="125"/>
      <c r="J108" s="126"/>
      <c r="K108" s="125"/>
      <c r="L108" s="125"/>
      <c r="M108" s="129"/>
      <c r="N108" s="129"/>
      <c r="O108" s="129"/>
      <c r="P108" s="129"/>
      <c r="Q108" s="811"/>
      <c r="R108" s="769"/>
      <c r="S108" s="787">
        <v>17500</v>
      </c>
      <c r="T108" s="767">
        <f>S108*F108*(G108+H108)</f>
        <v>105000</v>
      </c>
      <c r="U108" s="787">
        <v>17500</v>
      </c>
      <c r="V108" s="767">
        <f>U108*F108*(G108+H108)</f>
        <v>105000</v>
      </c>
      <c r="W108" s="787">
        <v>8400</v>
      </c>
      <c r="X108" s="767">
        <f>W108*(G108+H108)</f>
        <v>8400</v>
      </c>
      <c r="Y108" s="788">
        <v>300000</v>
      </c>
      <c r="Z108" s="767">
        <f>Y108*(G108+H108)</f>
        <v>300000</v>
      </c>
      <c r="AA108" s="761">
        <f t="shared" ref="AA108" si="146">55000*(G108+H108)</f>
        <v>55000</v>
      </c>
      <c r="AB108" s="787"/>
      <c r="AC108" s="888"/>
      <c r="AD108" s="762">
        <f>T108+V108+X108+Z108+AA108+AB108+AC108</f>
        <v>573400</v>
      </c>
      <c r="AE108" s="762">
        <f t="shared" si="129"/>
        <v>573400</v>
      </c>
    </row>
    <row r="109" spans="1:39" s="756" customFormat="1" ht="76.5">
      <c r="A109" s="825"/>
      <c r="B109" s="1669" t="s">
        <v>886</v>
      </c>
      <c r="C109" s="1669"/>
      <c r="D109" s="1669"/>
      <c r="E109" s="1669"/>
      <c r="F109" s="826"/>
      <c r="G109" s="873"/>
      <c r="H109" s="780"/>
      <c r="I109" s="870"/>
      <c r="J109" s="870">
        <f>SUM(J99:J108)</f>
        <v>1190000</v>
      </c>
      <c r="K109" s="870"/>
      <c r="L109" s="870">
        <f>SUM(L99:L108)</f>
        <v>0</v>
      </c>
      <c r="M109" s="870"/>
      <c r="N109" s="870">
        <f>SUM(N99:N108)</f>
        <v>1009400</v>
      </c>
      <c r="O109" s="869"/>
      <c r="P109" s="870">
        <f>SUM(P99:P108)</f>
        <v>200000</v>
      </c>
      <c r="Q109" s="869"/>
      <c r="R109" s="870">
        <f>SUM(R99:R108)</f>
        <v>2399400</v>
      </c>
      <c r="S109" s="869"/>
      <c r="T109" s="870">
        <f>SUM(T99:T108)</f>
        <v>1813000</v>
      </c>
      <c r="U109" s="869"/>
      <c r="V109" s="870">
        <f>SUM(V99:V108)</f>
        <v>1813000</v>
      </c>
      <c r="W109" s="869"/>
      <c r="X109" s="870">
        <f>SUM(X99:X108)</f>
        <v>143000</v>
      </c>
      <c r="Y109" s="869"/>
      <c r="Z109" s="870">
        <f t="shared" ref="Z109:AD109" si="147">SUM(Z99:Z108)</f>
        <v>2800000</v>
      </c>
      <c r="AA109" s="870">
        <f t="shared" si="147"/>
        <v>385000</v>
      </c>
      <c r="AB109" s="870">
        <f t="shared" si="147"/>
        <v>0</v>
      </c>
      <c r="AC109" s="885">
        <f t="shared" si="147"/>
        <v>0</v>
      </c>
      <c r="AD109" s="870">
        <f t="shared" si="147"/>
        <v>6954000</v>
      </c>
      <c r="AE109" s="870">
        <f>SUM(AE98:AE108)</f>
        <v>9958960</v>
      </c>
    </row>
    <row r="110" spans="1:39" s="756" customFormat="1" ht="76.5">
      <c r="A110" s="1736" t="s">
        <v>1045</v>
      </c>
      <c r="B110" s="1736"/>
      <c r="C110" s="1736"/>
      <c r="D110" s="1736"/>
      <c r="E110" s="1736"/>
      <c r="F110" s="1736"/>
      <c r="G110" s="1736"/>
      <c r="H110" s="1736"/>
      <c r="I110" s="1736"/>
      <c r="J110" s="1736"/>
      <c r="K110" s="1736"/>
      <c r="L110" s="1736"/>
      <c r="M110" s="1736"/>
      <c r="N110" s="1736"/>
      <c r="O110" s="1736"/>
      <c r="P110" s="1736"/>
      <c r="Q110" s="1736"/>
      <c r="R110" s="1736"/>
      <c r="S110" s="1736"/>
      <c r="T110" s="1736"/>
      <c r="U110" s="1736"/>
      <c r="V110" s="1736"/>
      <c r="W110" s="1736"/>
      <c r="X110" s="1736"/>
      <c r="Y110" s="1736"/>
      <c r="Z110" s="1736"/>
      <c r="AA110" s="1736"/>
      <c r="AB110" s="1736"/>
      <c r="AC110" s="1736"/>
      <c r="AD110" s="1736"/>
      <c r="AE110" s="1736"/>
    </row>
    <row r="111" spans="1:39" s="756" customFormat="1" ht="409.5">
      <c r="A111" s="129">
        <v>83</v>
      </c>
      <c r="B111" s="810">
        <v>1</v>
      </c>
      <c r="C111" s="795" t="s">
        <v>1069</v>
      </c>
      <c r="D111" s="767" t="s">
        <v>930</v>
      </c>
      <c r="E111" s="767" t="s">
        <v>1028</v>
      </c>
      <c r="F111" s="125">
        <v>18</v>
      </c>
      <c r="G111" s="874"/>
      <c r="H111" s="810">
        <v>2</v>
      </c>
      <c r="I111" s="125">
        <v>8500</v>
      </c>
      <c r="J111" s="768">
        <f t="shared" ref="J111:J113" si="148">(G111+H111)*I111*F111</f>
        <v>306000</v>
      </c>
      <c r="K111" s="125">
        <v>8625</v>
      </c>
      <c r="L111" s="767">
        <f t="shared" ref="L111:L113" si="149">K111*F111*G111</f>
        <v>0</v>
      </c>
      <c r="M111" s="769">
        <f>3605*2</f>
        <v>7210</v>
      </c>
      <c r="N111" s="769">
        <f t="shared" ref="N111:N113" si="150">M111*H111*F111</f>
        <v>259560</v>
      </c>
      <c r="O111" s="129">
        <v>10000</v>
      </c>
      <c r="P111" s="129">
        <f t="shared" ref="P111:P113" si="151">O111*H111*2</f>
        <v>40000</v>
      </c>
      <c r="Q111" s="125">
        <v>122950</v>
      </c>
      <c r="R111" s="769">
        <f>SUM(J111+L111+N111+P111)+Q111</f>
        <v>728510</v>
      </c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769"/>
      <c r="AD111" s="769"/>
      <c r="AE111" s="782">
        <f>R111+AD111</f>
        <v>728510</v>
      </c>
      <c r="AM111" s="865">
        <f>AE111+AE98</f>
        <v>1334070</v>
      </c>
    </row>
    <row r="112" spans="1:39" s="756" customFormat="1" ht="409.5">
      <c r="A112" s="129">
        <v>83</v>
      </c>
      <c r="B112" s="810">
        <v>2</v>
      </c>
      <c r="C112" s="795" t="s">
        <v>1068</v>
      </c>
      <c r="D112" s="767" t="s">
        <v>1046</v>
      </c>
      <c r="E112" s="767" t="s">
        <v>1028</v>
      </c>
      <c r="F112" s="125">
        <v>14</v>
      </c>
      <c r="G112" s="874"/>
      <c r="H112" s="810">
        <v>2</v>
      </c>
      <c r="I112" s="125">
        <v>8500</v>
      </c>
      <c r="J112" s="768">
        <f t="shared" si="148"/>
        <v>238000</v>
      </c>
      <c r="K112" s="125">
        <v>8625</v>
      </c>
      <c r="L112" s="767">
        <f t="shared" si="149"/>
        <v>0</v>
      </c>
      <c r="M112" s="769">
        <f t="shared" ref="M112:M122" si="152">3605*2</f>
        <v>7210</v>
      </c>
      <c r="N112" s="769">
        <f t="shared" si="150"/>
        <v>201880</v>
      </c>
      <c r="O112" s="129">
        <v>10000</v>
      </c>
      <c r="P112" s="129">
        <f t="shared" si="151"/>
        <v>40000</v>
      </c>
      <c r="Q112" s="811"/>
      <c r="R112" s="769">
        <f>SUM(J112+L112+N112+P112)+Q112</f>
        <v>479880</v>
      </c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769"/>
      <c r="AD112" s="769"/>
      <c r="AE112" s="782">
        <f>R112+AD112</f>
        <v>479880</v>
      </c>
    </row>
    <row r="113" spans="1:31" s="756" customFormat="1" ht="409.5">
      <c r="A113" s="129">
        <v>84</v>
      </c>
      <c r="B113" s="810">
        <v>3</v>
      </c>
      <c r="C113" s="813" t="s">
        <v>1047</v>
      </c>
      <c r="D113" s="125" t="s">
        <v>1030</v>
      </c>
      <c r="E113" s="125" t="s">
        <v>1028</v>
      </c>
      <c r="F113" s="125">
        <v>14</v>
      </c>
      <c r="G113" s="874"/>
      <c r="H113" s="810">
        <v>2</v>
      </c>
      <c r="I113" s="125">
        <v>8500</v>
      </c>
      <c r="J113" s="768">
        <f t="shared" si="148"/>
        <v>238000</v>
      </c>
      <c r="K113" s="125">
        <v>8625</v>
      </c>
      <c r="L113" s="767">
        <f t="shared" si="149"/>
        <v>0</v>
      </c>
      <c r="M113" s="769">
        <f t="shared" si="152"/>
        <v>7210</v>
      </c>
      <c r="N113" s="769">
        <f t="shared" si="150"/>
        <v>201880</v>
      </c>
      <c r="O113" s="129">
        <v>10000</v>
      </c>
      <c r="P113" s="129">
        <f t="shared" si="151"/>
        <v>40000</v>
      </c>
      <c r="Q113" s="811"/>
      <c r="R113" s="769">
        <f>SUM(J113+L113+N113+P113)+Q113</f>
        <v>479880</v>
      </c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769"/>
      <c r="AD113" s="769"/>
      <c r="AE113" s="782">
        <f t="shared" ref="AE113:AE123" si="153">R113+AD113</f>
        <v>479880</v>
      </c>
    </row>
    <row r="114" spans="1:31" s="756" customFormat="1" ht="282">
      <c r="A114" s="773">
        <v>85</v>
      </c>
      <c r="B114" s="810">
        <v>4</v>
      </c>
      <c r="C114" s="813" t="s">
        <v>902</v>
      </c>
      <c r="D114" s="125" t="s">
        <v>1030</v>
      </c>
      <c r="E114" s="767" t="s">
        <v>1048</v>
      </c>
      <c r="F114" s="125">
        <v>5</v>
      </c>
      <c r="G114" s="874"/>
      <c r="H114" s="810">
        <v>2</v>
      </c>
      <c r="I114" s="125"/>
      <c r="J114" s="126"/>
      <c r="K114" s="125"/>
      <c r="L114" s="125"/>
      <c r="M114" s="129"/>
      <c r="N114" s="129"/>
      <c r="O114" s="129"/>
      <c r="P114" s="129"/>
      <c r="Q114" s="811"/>
      <c r="R114" s="769"/>
      <c r="S114" s="787">
        <v>17500</v>
      </c>
      <c r="T114" s="767">
        <f t="shared" ref="T114" si="154">S114*F114*(G114+H114)</f>
        <v>175000</v>
      </c>
      <c r="U114" s="787">
        <v>17500</v>
      </c>
      <c r="V114" s="767">
        <f>U114*F114*(G114+H114)</f>
        <v>175000</v>
      </c>
      <c r="W114" s="787">
        <v>13200</v>
      </c>
      <c r="X114" s="767">
        <f>W114*(G114+H114)</f>
        <v>26400</v>
      </c>
      <c r="Y114" s="788">
        <v>350000</v>
      </c>
      <c r="Z114" s="767">
        <f>Y114*(G114+H114)</f>
        <v>700000</v>
      </c>
      <c r="AA114" s="761">
        <f t="shared" ref="AA114" si="155">55000*(G114+H114)</f>
        <v>110000</v>
      </c>
      <c r="AB114" s="787"/>
      <c r="AC114" s="888"/>
      <c r="AD114" s="762">
        <f>T114+V114+X114+Z114+AA114+AB114+AC114</f>
        <v>1186400</v>
      </c>
      <c r="AE114" s="782">
        <f t="shared" si="153"/>
        <v>1186400</v>
      </c>
    </row>
    <row r="115" spans="1:31" s="756" customFormat="1" ht="409.5">
      <c r="A115" s="773">
        <v>86</v>
      </c>
      <c r="B115" s="810">
        <v>5</v>
      </c>
      <c r="C115" s="813" t="s">
        <v>1049</v>
      </c>
      <c r="D115" s="125" t="s">
        <v>1050</v>
      </c>
      <c r="E115" s="125" t="s">
        <v>1028</v>
      </c>
      <c r="F115" s="125">
        <v>14</v>
      </c>
      <c r="G115" s="874"/>
      <c r="H115" s="810">
        <v>2</v>
      </c>
      <c r="I115" s="125">
        <v>8500</v>
      </c>
      <c r="J115" s="768">
        <f t="shared" ref="J115:J116" si="156">(G115+H115)*I115*F115</f>
        <v>238000</v>
      </c>
      <c r="K115" s="125">
        <v>8625</v>
      </c>
      <c r="L115" s="767">
        <f>K115*F115*G115</f>
        <v>0</v>
      </c>
      <c r="M115" s="769">
        <f t="shared" si="152"/>
        <v>7210</v>
      </c>
      <c r="N115" s="769">
        <f t="shared" ref="N115:N116" si="157">M115*H115*F115</f>
        <v>201880</v>
      </c>
      <c r="O115" s="129">
        <v>10000</v>
      </c>
      <c r="P115" s="129">
        <f t="shared" ref="P115:P116" si="158">O115*H115*2</f>
        <v>40000</v>
      </c>
      <c r="Q115" s="811"/>
      <c r="R115" s="769">
        <f t="shared" ref="R115:R116" si="159">SUM(J115+L115+N115+P115)+Q115</f>
        <v>479880</v>
      </c>
      <c r="S115" s="787"/>
      <c r="T115" s="125"/>
      <c r="U115" s="787"/>
      <c r="V115" s="125"/>
      <c r="W115" s="787"/>
      <c r="X115" s="125"/>
      <c r="Y115" s="787"/>
      <c r="Z115" s="125"/>
      <c r="AA115" s="787"/>
      <c r="AB115" s="787"/>
      <c r="AC115" s="888"/>
      <c r="AD115" s="789"/>
      <c r="AE115" s="782">
        <f t="shared" si="153"/>
        <v>479880</v>
      </c>
    </row>
    <row r="116" spans="1:31" s="756" customFormat="1" ht="409.5">
      <c r="A116" s="773">
        <v>87</v>
      </c>
      <c r="B116" s="810">
        <v>6</v>
      </c>
      <c r="C116" s="813" t="s">
        <v>1051</v>
      </c>
      <c r="D116" s="125" t="s">
        <v>1032</v>
      </c>
      <c r="E116" s="125" t="s">
        <v>1028</v>
      </c>
      <c r="F116" s="125">
        <v>14</v>
      </c>
      <c r="G116" s="874"/>
      <c r="H116" s="810">
        <v>2</v>
      </c>
      <c r="I116" s="125">
        <v>8500</v>
      </c>
      <c r="J116" s="768">
        <f t="shared" si="156"/>
        <v>238000</v>
      </c>
      <c r="K116" s="125">
        <v>8625</v>
      </c>
      <c r="L116" s="767">
        <f>K116*F116*G116</f>
        <v>0</v>
      </c>
      <c r="M116" s="769">
        <f t="shared" si="152"/>
        <v>7210</v>
      </c>
      <c r="N116" s="769">
        <f t="shared" si="157"/>
        <v>201880</v>
      </c>
      <c r="O116" s="129">
        <v>10000</v>
      </c>
      <c r="P116" s="129">
        <f t="shared" si="158"/>
        <v>40000</v>
      </c>
      <c r="Q116" s="811"/>
      <c r="R116" s="769">
        <f t="shared" si="159"/>
        <v>479880</v>
      </c>
      <c r="S116" s="787"/>
      <c r="T116" s="125"/>
      <c r="U116" s="787"/>
      <c r="V116" s="125"/>
      <c r="W116" s="787"/>
      <c r="X116" s="125"/>
      <c r="Y116" s="787"/>
      <c r="Z116" s="125"/>
      <c r="AA116" s="787"/>
      <c r="AB116" s="787"/>
      <c r="AC116" s="888"/>
      <c r="AD116" s="789"/>
      <c r="AE116" s="782">
        <f t="shared" si="153"/>
        <v>479880</v>
      </c>
    </row>
    <row r="117" spans="1:31" s="756" customFormat="1" ht="352.5">
      <c r="A117" s="773">
        <v>88</v>
      </c>
      <c r="B117" s="810">
        <v>7</v>
      </c>
      <c r="C117" s="813" t="s">
        <v>1034</v>
      </c>
      <c r="D117" s="125" t="s">
        <v>1052</v>
      </c>
      <c r="E117" s="767" t="s">
        <v>1036</v>
      </c>
      <c r="F117" s="125">
        <v>7</v>
      </c>
      <c r="G117" s="874"/>
      <c r="H117" s="810">
        <v>2</v>
      </c>
      <c r="I117" s="125"/>
      <c r="J117" s="126"/>
      <c r="K117" s="125"/>
      <c r="L117" s="125"/>
      <c r="M117" s="129"/>
      <c r="N117" s="129"/>
      <c r="O117" s="129"/>
      <c r="P117" s="129"/>
      <c r="Q117" s="811"/>
      <c r="R117" s="769"/>
      <c r="S117" s="787">
        <v>43500</v>
      </c>
      <c r="T117" s="767">
        <f t="shared" ref="T117" si="160">S117*F117*(G117+H117)</f>
        <v>609000</v>
      </c>
      <c r="U117" s="787">
        <v>43500</v>
      </c>
      <c r="V117" s="767">
        <f>U117*F117*(G117+H117)</f>
        <v>609000</v>
      </c>
      <c r="W117" s="787">
        <v>14700</v>
      </c>
      <c r="X117" s="767">
        <f>W117*(G117+H117)</f>
        <v>29400</v>
      </c>
      <c r="Y117" s="788">
        <v>450000</v>
      </c>
      <c r="Z117" s="767">
        <f>Y117*(G117+H117)</f>
        <v>900000</v>
      </c>
      <c r="AA117" s="761">
        <f t="shared" ref="AA117" si="161">55000*(G117+H117)</f>
        <v>110000</v>
      </c>
      <c r="AB117" s="787"/>
      <c r="AC117" s="888"/>
      <c r="AD117" s="762">
        <f>T117+V117+X117+Z117+AA117+AB117+AC117</f>
        <v>2257400</v>
      </c>
      <c r="AE117" s="782">
        <f>R117+AD117</f>
        <v>2257400</v>
      </c>
    </row>
    <row r="118" spans="1:31" s="756" customFormat="1" ht="409.5">
      <c r="A118" s="773">
        <v>89</v>
      </c>
      <c r="B118" s="810">
        <v>8</v>
      </c>
      <c r="C118" s="813" t="s">
        <v>1053</v>
      </c>
      <c r="D118" s="767" t="s">
        <v>1054</v>
      </c>
      <c r="E118" s="125" t="s">
        <v>1028</v>
      </c>
      <c r="F118" s="125">
        <v>14</v>
      </c>
      <c r="G118" s="874"/>
      <c r="H118" s="810">
        <v>2</v>
      </c>
      <c r="I118" s="125">
        <v>8500</v>
      </c>
      <c r="J118" s="768">
        <f>(G118+H118)*I118*F118</f>
        <v>238000</v>
      </c>
      <c r="K118" s="125">
        <v>8625</v>
      </c>
      <c r="L118" s="767">
        <f t="shared" ref="L118:L119" si="162">K118*F118*G118</f>
        <v>0</v>
      </c>
      <c r="M118" s="769">
        <f t="shared" si="152"/>
        <v>7210</v>
      </c>
      <c r="N118" s="769">
        <f t="shared" ref="N118:N119" si="163">M118*H118*F118</f>
        <v>201880</v>
      </c>
      <c r="O118" s="129">
        <v>10000</v>
      </c>
      <c r="P118" s="129">
        <f t="shared" ref="P118:P119" si="164">O118*H118*2</f>
        <v>40000</v>
      </c>
      <c r="Q118" s="811"/>
      <c r="R118" s="769">
        <f t="shared" ref="R118:R119" si="165">SUM(J118+L118+N118+P118)+Q118</f>
        <v>479880</v>
      </c>
      <c r="S118" s="787"/>
      <c r="T118" s="125"/>
      <c r="U118" s="787"/>
      <c r="V118" s="125"/>
      <c r="W118" s="787"/>
      <c r="X118" s="125"/>
      <c r="Y118" s="787"/>
      <c r="Z118" s="125"/>
      <c r="AA118" s="787"/>
      <c r="AB118" s="787"/>
      <c r="AC118" s="888"/>
      <c r="AD118" s="789"/>
      <c r="AE118" s="782">
        <f t="shared" si="153"/>
        <v>479880</v>
      </c>
    </row>
    <row r="119" spans="1:31" s="756" customFormat="1" ht="409.5">
      <c r="A119" s="773">
        <v>90</v>
      </c>
      <c r="B119" s="810">
        <v>9</v>
      </c>
      <c r="C119" s="813" t="s">
        <v>1055</v>
      </c>
      <c r="D119" s="767" t="s">
        <v>1038</v>
      </c>
      <c r="E119" s="125" t="s">
        <v>1028</v>
      </c>
      <c r="F119" s="125">
        <v>14</v>
      </c>
      <c r="G119" s="874"/>
      <c r="H119" s="810">
        <v>2</v>
      </c>
      <c r="I119" s="125">
        <v>8500</v>
      </c>
      <c r="J119" s="768">
        <f>(G119+H119)*I119*F119</f>
        <v>238000</v>
      </c>
      <c r="K119" s="125">
        <v>8625</v>
      </c>
      <c r="L119" s="767">
        <f t="shared" si="162"/>
        <v>0</v>
      </c>
      <c r="M119" s="769">
        <f t="shared" si="152"/>
        <v>7210</v>
      </c>
      <c r="N119" s="769">
        <f t="shared" si="163"/>
        <v>201880</v>
      </c>
      <c r="O119" s="129">
        <v>10000</v>
      </c>
      <c r="P119" s="129">
        <f t="shared" si="164"/>
        <v>40000</v>
      </c>
      <c r="Q119" s="811"/>
      <c r="R119" s="769">
        <f t="shared" si="165"/>
        <v>479880</v>
      </c>
      <c r="S119" s="787"/>
      <c r="T119" s="125"/>
      <c r="U119" s="787"/>
      <c r="V119" s="125"/>
      <c r="W119" s="787"/>
      <c r="X119" s="125"/>
      <c r="Y119" s="787"/>
      <c r="Z119" s="125"/>
      <c r="AA119" s="787"/>
      <c r="AB119" s="787"/>
      <c r="AC119" s="888"/>
      <c r="AD119" s="789"/>
      <c r="AE119" s="782">
        <f t="shared" si="153"/>
        <v>479880</v>
      </c>
    </row>
    <row r="120" spans="1:31" s="756" customFormat="1" ht="282">
      <c r="A120" s="773">
        <v>91</v>
      </c>
      <c r="B120" s="810">
        <v>10</v>
      </c>
      <c r="C120" s="813" t="s">
        <v>914</v>
      </c>
      <c r="D120" s="767" t="s">
        <v>1022</v>
      </c>
      <c r="E120" s="767" t="s">
        <v>904</v>
      </c>
      <c r="F120" s="125">
        <v>6</v>
      </c>
      <c r="G120" s="874"/>
      <c r="H120" s="810">
        <v>2</v>
      </c>
      <c r="I120" s="125"/>
      <c r="J120" s="126"/>
      <c r="K120" s="125"/>
      <c r="L120" s="125"/>
      <c r="M120" s="129"/>
      <c r="N120" s="129"/>
      <c r="O120" s="129"/>
      <c r="P120" s="129"/>
      <c r="Q120" s="811"/>
      <c r="R120" s="769"/>
      <c r="S120" s="787">
        <v>43500</v>
      </c>
      <c r="T120" s="767">
        <f t="shared" ref="T120" si="166">S120*F120*(G120+H120)</f>
        <v>522000</v>
      </c>
      <c r="U120" s="787">
        <v>43500</v>
      </c>
      <c r="V120" s="767">
        <f>U120*F120*(G120+H120)</f>
        <v>522000</v>
      </c>
      <c r="W120" s="787">
        <v>12600</v>
      </c>
      <c r="X120" s="767">
        <f>W120*(G120+H120)</f>
        <v>25200</v>
      </c>
      <c r="Y120" s="788">
        <v>350000</v>
      </c>
      <c r="Z120" s="767">
        <f>Y120*(G120+H120)</f>
        <v>700000</v>
      </c>
      <c r="AA120" s="788"/>
      <c r="AB120" s="787"/>
      <c r="AC120" s="888"/>
      <c r="AD120" s="762">
        <f>T120+V120+X120+Z120+AA120+AB120+AC120</f>
        <v>1769200</v>
      </c>
      <c r="AE120" s="782">
        <f t="shared" si="153"/>
        <v>1769200</v>
      </c>
    </row>
    <row r="121" spans="1:31" s="756" customFormat="1" ht="409.5">
      <c r="A121" s="773">
        <v>92</v>
      </c>
      <c r="B121" s="810">
        <v>11</v>
      </c>
      <c r="C121" s="813" t="s">
        <v>1056</v>
      </c>
      <c r="D121" s="125" t="s">
        <v>1057</v>
      </c>
      <c r="E121" s="125" t="s">
        <v>1028</v>
      </c>
      <c r="F121" s="125">
        <v>14</v>
      </c>
      <c r="G121" s="874"/>
      <c r="H121" s="810">
        <v>1</v>
      </c>
      <c r="I121" s="125">
        <v>8500</v>
      </c>
      <c r="J121" s="768">
        <f t="shared" ref="J121:J122" si="167">(G121+H121)*I121*F121</f>
        <v>119000</v>
      </c>
      <c r="K121" s="125">
        <v>8625</v>
      </c>
      <c r="L121" s="767">
        <f t="shared" ref="L121:L122" si="168">K121*F121*G121</f>
        <v>0</v>
      </c>
      <c r="M121" s="769">
        <f t="shared" si="152"/>
        <v>7210</v>
      </c>
      <c r="N121" s="769">
        <f t="shared" ref="N121:N122" si="169">M121*H121*F121</f>
        <v>100940</v>
      </c>
      <c r="O121" s="129">
        <v>10000</v>
      </c>
      <c r="P121" s="129">
        <f t="shared" ref="P121:P122" si="170">O121*H121*2</f>
        <v>20000</v>
      </c>
      <c r="Q121" s="811"/>
      <c r="R121" s="769">
        <f t="shared" ref="R121:R122" si="171">SUM(J121+L121+N121+P121)+Q121</f>
        <v>239940</v>
      </c>
      <c r="S121" s="787"/>
      <c r="T121" s="125"/>
      <c r="U121" s="787"/>
      <c r="V121" s="125"/>
      <c r="W121" s="787"/>
      <c r="X121" s="125"/>
      <c r="Y121" s="787"/>
      <c r="Z121" s="125"/>
      <c r="AA121" s="787"/>
      <c r="AB121" s="787"/>
      <c r="AC121" s="888"/>
      <c r="AD121" s="789"/>
      <c r="AE121" s="782">
        <f t="shared" si="153"/>
        <v>239940</v>
      </c>
    </row>
    <row r="122" spans="1:31" s="756" customFormat="1" ht="409.5">
      <c r="A122" s="773">
        <v>93</v>
      </c>
      <c r="B122" s="810">
        <v>12</v>
      </c>
      <c r="C122" s="813" t="s">
        <v>1058</v>
      </c>
      <c r="D122" s="125" t="s">
        <v>923</v>
      </c>
      <c r="E122" s="125" t="s">
        <v>1028</v>
      </c>
      <c r="F122" s="125">
        <v>14</v>
      </c>
      <c r="G122" s="874"/>
      <c r="H122" s="810">
        <v>1</v>
      </c>
      <c r="I122" s="125">
        <v>8500</v>
      </c>
      <c r="J122" s="768">
        <f t="shared" si="167"/>
        <v>119000</v>
      </c>
      <c r="K122" s="125">
        <v>8625</v>
      </c>
      <c r="L122" s="767">
        <f t="shared" si="168"/>
        <v>0</v>
      </c>
      <c r="M122" s="769">
        <f t="shared" si="152"/>
        <v>7210</v>
      </c>
      <c r="N122" s="769">
        <f t="shared" si="169"/>
        <v>100940</v>
      </c>
      <c r="O122" s="129">
        <v>10000</v>
      </c>
      <c r="P122" s="129">
        <f t="shared" si="170"/>
        <v>20000</v>
      </c>
      <c r="Q122" s="811"/>
      <c r="R122" s="769">
        <f t="shared" si="171"/>
        <v>239940</v>
      </c>
      <c r="S122" s="787"/>
      <c r="T122" s="125"/>
      <c r="U122" s="787"/>
      <c r="V122" s="125"/>
      <c r="W122" s="787"/>
      <c r="X122" s="125"/>
      <c r="Y122" s="787"/>
      <c r="Z122" s="125"/>
      <c r="AA122" s="787"/>
      <c r="AB122" s="787"/>
      <c r="AC122" s="888"/>
      <c r="AD122" s="789"/>
      <c r="AE122" s="782">
        <f>R122+AD122</f>
        <v>239940</v>
      </c>
    </row>
    <row r="123" spans="1:31" s="756" customFormat="1" ht="282">
      <c r="A123" s="773">
        <v>94</v>
      </c>
      <c r="B123" s="810">
        <v>13</v>
      </c>
      <c r="C123" s="813" t="s">
        <v>913</v>
      </c>
      <c r="D123" s="125" t="s">
        <v>1059</v>
      </c>
      <c r="E123" s="767" t="s">
        <v>1060</v>
      </c>
      <c r="F123" s="125">
        <v>6</v>
      </c>
      <c r="G123" s="874"/>
      <c r="H123" s="810">
        <v>2</v>
      </c>
      <c r="I123" s="125"/>
      <c r="J123" s="126"/>
      <c r="K123" s="125"/>
      <c r="L123" s="125"/>
      <c r="M123" s="129"/>
      <c r="N123" s="129"/>
      <c r="O123" s="129"/>
      <c r="P123" s="129"/>
      <c r="Q123" s="811"/>
      <c r="R123" s="769"/>
      <c r="S123" s="787">
        <v>43500</v>
      </c>
      <c r="T123" s="767">
        <f t="shared" ref="T123" si="172">S123*F123*(G123+H123)</f>
        <v>522000</v>
      </c>
      <c r="U123" s="787">
        <v>43500</v>
      </c>
      <c r="V123" s="767">
        <f>U123*F123*(G123+H123)</f>
        <v>522000</v>
      </c>
      <c r="W123" s="787">
        <v>14700</v>
      </c>
      <c r="X123" s="767">
        <f>W123*(G123+H123)</f>
        <v>29400</v>
      </c>
      <c r="Y123" s="788">
        <v>450000</v>
      </c>
      <c r="Z123" s="767">
        <f>Y123*(G123+H123)</f>
        <v>900000</v>
      </c>
      <c r="AA123" s="761">
        <f t="shared" ref="AA123" si="173">55000*(G123+H123)</f>
        <v>110000</v>
      </c>
      <c r="AB123" s="787"/>
      <c r="AC123" s="888"/>
      <c r="AD123" s="762">
        <f>T123+V123+X123+Z123+AA123+AB123+AC123</f>
        <v>2083400</v>
      </c>
      <c r="AE123" s="782">
        <f t="shared" si="153"/>
        <v>2083400</v>
      </c>
    </row>
    <row r="124" spans="1:31" s="756" customFormat="1" ht="78.75" customHeight="1">
      <c r="A124" s="1664" t="s">
        <v>886</v>
      </c>
      <c r="B124" s="1664"/>
      <c r="C124" s="1664"/>
      <c r="D124" s="1664"/>
      <c r="E124" s="1664"/>
      <c r="F124" s="1664"/>
      <c r="G124" s="1664"/>
      <c r="H124" s="1664"/>
      <c r="I124" s="781"/>
      <c r="J124" s="781">
        <f>SUM(J112:J123)</f>
        <v>1666000</v>
      </c>
      <c r="K124" s="781"/>
      <c r="L124" s="781">
        <f>SUM(L112:L123)</f>
        <v>0</v>
      </c>
      <c r="M124" s="781"/>
      <c r="N124" s="781">
        <f>SUM(N112:N123)</f>
        <v>1413160</v>
      </c>
      <c r="O124" s="781"/>
      <c r="P124" s="781">
        <f>SUM(P112:P123)</f>
        <v>280000</v>
      </c>
      <c r="Q124" s="781"/>
      <c r="R124" s="781">
        <f>SUM(R112:R123)</f>
        <v>3359160</v>
      </c>
      <c r="S124" s="781"/>
      <c r="T124" s="781">
        <f>SUM(T112:T123)</f>
        <v>1828000</v>
      </c>
      <c r="U124" s="781"/>
      <c r="V124" s="781">
        <f>SUM(V112:V123)</f>
        <v>1828000</v>
      </c>
      <c r="W124" s="781"/>
      <c r="X124" s="781">
        <f>SUM(X112:X123)</f>
        <v>110400</v>
      </c>
      <c r="Y124" s="781"/>
      <c r="Z124" s="781">
        <f t="shared" ref="Z124:AA124" si="174">SUM(Z112:Z123)</f>
        <v>3200000</v>
      </c>
      <c r="AA124" s="781">
        <f t="shared" si="174"/>
        <v>330000</v>
      </c>
      <c r="AB124" s="781"/>
      <c r="AC124" s="831">
        <f t="shared" ref="AC124:AD124" si="175">SUM(AC112:AC123)</f>
        <v>0</v>
      </c>
      <c r="AD124" s="781">
        <f t="shared" si="175"/>
        <v>7296400</v>
      </c>
      <c r="AE124" s="781">
        <f>SUM(AE111:AE123)</f>
        <v>11384070</v>
      </c>
    </row>
    <row r="125" spans="1:31" s="756" customFormat="1" ht="138" customHeight="1">
      <c r="A125" s="1734" t="s">
        <v>1061</v>
      </c>
      <c r="B125" s="1735"/>
      <c r="C125" s="1735"/>
      <c r="D125" s="1735"/>
      <c r="E125" s="1735"/>
      <c r="F125" s="829"/>
      <c r="G125" s="875"/>
      <c r="H125" s="829"/>
      <c r="I125" s="829"/>
      <c r="J125" s="830">
        <f>J13+J22+J36+J46+J55+J60+J68+J75+J86+J96+J109+J124</f>
        <v>8436900</v>
      </c>
      <c r="K125" s="830"/>
      <c r="L125" s="830">
        <f>L13+L22+L36+L46+L55+L60+L68+L75+L86+L96+L109+L124</f>
        <v>0</v>
      </c>
      <c r="M125" s="830"/>
      <c r="N125" s="830">
        <f>N13+N22+N36+N46+N55+N60+N68+N75+N86+N96+N109+N124</f>
        <v>7404670</v>
      </c>
      <c r="O125" s="830"/>
      <c r="P125" s="830">
        <f>P13+P22+P36+P46+P55+P60+P68+P75+P86+P96+P109+P124</f>
        <v>1500000</v>
      </c>
      <c r="Q125" s="830">
        <f>Q13+Q22+Q36+Q46+Q55+Q60+Q68+Q75+Q86+Q96+Q109+Q124</f>
        <v>0</v>
      </c>
      <c r="R125" s="830">
        <f>R13+R22+R36+R46+R55+R60+R68+R75+R86+R96+R109+R124</f>
        <v>17341570</v>
      </c>
      <c r="S125" s="830"/>
      <c r="T125" s="830">
        <f>T13+T22+T36+T46+T55+T60+T68+T75+T86+T96+T109+T124</f>
        <v>23325440</v>
      </c>
      <c r="U125" s="830"/>
      <c r="V125" s="830">
        <f>V13+V22+V36+V46+V55+V60+V68+V75+V86+V96+V109+V124</f>
        <v>16932424</v>
      </c>
      <c r="W125" s="830"/>
      <c r="X125" s="830">
        <f>X13+X22+X36+X46+X55+X60+X68+X75+X86+X96+X109+X124</f>
        <v>1136800</v>
      </c>
      <c r="Y125" s="830"/>
      <c r="Z125" s="830">
        <f t="shared" ref="Z125:AE125" si="176">Z13+Z22+Z36+Z46+Z55+Z60+Z68+Z75+Z86+Z96+Z109+Z124</f>
        <v>34263000</v>
      </c>
      <c r="AA125" s="830">
        <f t="shared" si="176"/>
        <v>2970000</v>
      </c>
      <c r="AB125" s="830">
        <f t="shared" si="176"/>
        <v>0</v>
      </c>
      <c r="AC125" s="889">
        <f t="shared" si="176"/>
        <v>99000</v>
      </c>
      <c r="AD125" s="830">
        <f t="shared" si="176"/>
        <v>78726664</v>
      </c>
      <c r="AE125" s="830">
        <f t="shared" si="176"/>
        <v>97402304</v>
      </c>
    </row>
    <row r="126" spans="1:31">
      <c r="A126" s="814"/>
      <c r="B126" s="814"/>
      <c r="C126" s="814"/>
      <c r="D126" s="814"/>
      <c r="E126" s="814"/>
      <c r="F126" s="814"/>
      <c r="G126" s="876"/>
      <c r="H126" s="814"/>
      <c r="I126" s="814"/>
      <c r="J126" s="814"/>
      <c r="K126" s="814"/>
      <c r="L126" s="814"/>
      <c r="M126" s="814"/>
      <c r="N126" s="814"/>
      <c r="O126" s="814"/>
      <c r="P126" s="814"/>
      <c r="Q126" s="814"/>
      <c r="R126" s="814"/>
      <c r="S126" s="814"/>
      <c r="T126" s="814"/>
      <c r="U126" s="814"/>
      <c r="V126" s="814"/>
      <c r="W126" s="814"/>
      <c r="X126" s="814"/>
      <c r="Y126" s="814"/>
      <c r="Z126" s="814"/>
      <c r="AA126" s="814"/>
      <c r="AB126" s="814"/>
      <c r="AC126" s="832"/>
      <c r="AD126" s="814"/>
      <c r="AE126" s="814"/>
    </row>
    <row r="127" spans="1:31" s="828" customFormat="1" ht="64.5">
      <c r="G127" s="877"/>
      <c r="AC127" s="833"/>
    </row>
    <row r="128" spans="1:31" s="828" customFormat="1" ht="64.5">
      <c r="G128" s="877"/>
      <c r="AC128" s="833"/>
      <c r="AE128" s="827"/>
    </row>
    <row r="129" spans="7:31" s="828" customFormat="1" ht="64.5">
      <c r="G129" s="877"/>
      <c r="AC129" s="833"/>
      <c r="AE129" s="827">
        <f>AD125+R125</f>
        <v>96068234</v>
      </c>
    </row>
    <row r="130" spans="7:31" s="828" customFormat="1" ht="64.5">
      <c r="G130" s="877"/>
      <c r="AC130" s="833"/>
      <c r="AE130" s="827"/>
    </row>
    <row r="131" spans="7:31" s="828" customFormat="1" ht="64.5">
      <c r="G131" s="877"/>
      <c r="AC131" s="833"/>
    </row>
    <row r="132" spans="7:31" s="828" customFormat="1" ht="64.5">
      <c r="G132" s="877"/>
      <c r="AC132" s="833"/>
    </row>
    <row r="133" spans="7:31" s="828" customFormat="1" ht="64.5">
      <c r="G133" s="877"/>
      <c r="AC133" s="833"/>
    </row>
    <row r="134" spans="7:31" s="828" customFormat="1" ht="64.5">
      <c r="G134" s="877"/>
      <c r="AC134" s="833"/>
    </row>
    <row r="135" spans="7:31" s="828" customFormat="1" ht="64.5">
      <c r="G135" s="877"/>
      <c r="AC135" s="833"/>
    </row>
    <row r="136" spans="7:31" s="828" customFormat="1" ht="64.5">
      <c r="G136" s="877"/>
      <c r="AC136" s="833"/>
    </row>
  </sheetData>
  <mergeCells count="50">
    <mergeCell ref="A46:H46"/>
    <mergeCell ref="A47:AE47"/>
    <mergeCell ref="A55:H55"/>
    <mergeCell ref="A36:H36"/>
    <mergeCell ref="A37:AE37"/>
    <mergeCell ref="A5:AE5"/>
    <mergeCell ref="A13:H13"/>
    <mergeCell ref="A14:AE14"/>
    <mergeCell ref="A22:H22"/>
    <mergeCell ref="A23:AE23"/>
    <mergeCell ref="Y3:Z3"/>
    <mergeCell ref="AA3:AA4"/>
    <mergeCell ref="AB3:AB4"/>
    <mergeCell ref="AC3:AC4"/>
    <mergeCell ref="M3:N3"/>
    <mergeCell ref="O3:P3"/>
    <mergeCell ref="S3:T3"/>
    <mergeCell ref="U3:V3"/>
    <mergeCell ref="W3:X3"/>
    <mergeCell ref="A124:H124"/>
    <mergeCell ref="A125:E125"/>
    <mergeCell ref="A56:AE56"/>
    <mergeCell ref="A60:H60"/>
    <mergeCell ref="A97:AE97"/>
    <mergeCell ref="B109:E109"/>
    <mergeCell ref="A110:AE110"/>
    <mergeCell ref="A75:E75"/>
    <mergeCell ref="A76:AE76"/>
    <mergeCell ref="A86:G86"/>
    <mergeCell ref="A87:AE87"/>
    <mergeCell ref="A96:H96"/>
    <mergeCell ref="A69:AE69"/>
    <mergeCell ref="A61:AE61"/>
    <mergeCell ref="A68:H68"/>
    <mergeCell ref="A1:AE1"/>
    <mergeCell ref="A2:A4"/>
    <mergeCell ref="B2:B4"/>
    <mergeCell ref="C2:C4"/>
    <mergeCell ref="D2:D4"/>
    <mergeCell ref="E2:E4"/>
    <mergeCell ref="F2:F4"/>
    <mergeCell ref="G2:G4"/>
    <mergeCell ref="I2:Q2"/>
    <mergeCell ref="R2:R4"/>
    <mergeCell ref="AD3:AD4"/>
    <mergeCell ref="S2:AD2"/>
    <mergeCell ref="AE2:AE4"/>
    <mergeCell ref="H3:H4"/>
    <mergeCell ref="I3:J3"/>
    <mergeCell ref="K3:L3"/>
  </mergeCells>
  <pageMargins left="3.937007874015748E-2" right="3.937007874015748E-2" top="0.55118110236220474" bottom="0.55118110236220474" header="0.31496062992125984" footer="0.31496062992125984"/>
  <pageSetup paperSize="9" scale="10" orientation="landscape" r:id="rId1"/>
  <rowBreaks count="1" manualBreakCount="1">
    <brk id="91" max="3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136"/>
  <sheetViews>
    <sheetView view="pageBreakPreview" topLeftCell="A118" zoomScale="16" zoomScaleNormal="100" zoomScaleSheetLayoutView="16" workbookViewId="0">
      <selection activeCell="K123" sqref="K123"/>
    </sheetView>
  </sheetViews>
  <sheetFormatPr defaultColWidth="9.140625" defaultRowHeight="15"/>
  <cols>
    <col min="1" max="1" width="19.7109375" customWidth="1"/>
    <col min="2" max="2" width="22.85546875" customWidth="1"/>
    <col min="3" max="3" width="72.5703125" customWidth="1"/>
    <col min="4" max="4" width="46.5703125" customWidth="1"/>
    <col min="5" max="5" width="90.140625" customWidth="1"/>
    <col min="6" max="6" width="17.140625" customWidth="1"/>
    <col min="7" max="7" width="16.5703125" customWidth="1"/>
    <col min="8" max="8" width="16.5703125" style="878" customWidth="1"/>
    <col min="9" max="9" width="35.5703125" customWidth="1"/>
    <col min="10" max="10" width="56.140625" customWidth="1"/>
    <col min="11" max="11" width="39.28515625" customWidth="1"/>
    <col min="12" max="12" width="58.7109375" customWidth="1"/>
    <col min="13" max="13" width="33.28515625" customWidth="1"/>
    <col min="14" max="14" width="54.140625" customWidth="1"/>
    <col min="15" max="15" width="36.85546875" customWidth="1"/>
    <col min="16" max="16" width="51.140625" customWidth="1"/>
    <col min="17" max="17" width="42.5703125" customWidth="1"/>
    <col min="18" max="18" width="56.85546875" customWidth="1"/>
    <col min="19" max="19" width="39.42578125" customWidth="1"/>
    <col min="20" max="20" width="66" customWidth="1"/>
    <col min="21" max="21" width="41.140625" customWidth="1"/>
    <col min="22" max="22" width="60.85546875" customWidth="1"/>
    <col min="23" max="23" width="36.140625" customWidth="1"/>
    <col min="24" max="24" width="53" customWidth="1"/>
    <col min="25" max="25" width="41.42578125" customWidth="1"/>
    <col min="26" max="26" width="61.28515625" customWidth="1"/>
    <col min="27" max="27" width="58.7109375" customWidth="1"/>
    <col min="28" max="28" width="46" hidden="1" customWidth="1"/>
    <col min="29" max="29" width="58.42578125" customWidth="1"/>
    <col min="30" max="30" width="66.42578125" customWidth="1"/>
    <col min="31" max="31" width="76.85546875" customWidth="1"/>
    <col min="39" max="39" width="79.42578125" customWidth="1"/>
  </cols>
  <sheetData>
    <row r="1" spans="1:33" s="756" customFormat="1" ht="76.5">
      <c r="A1" s="1629"/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  <c r="N1" s="1629"/>
      <c r="O1" s="1629"/>
      <c r="P1" s="1629"/>
      <c r="Q1" s="1629"/>
      <c r="R1" s="1629"/>
      <c r="S1" s="1629"/>
      <c r="T1" s="1629"/>
      <c r="U1" s="1629"/>
      <c r="V1" s="1629"/>
      <c r="W1" s="1629"/>
      <c r="X1" s="1629"/>
      <c r="Y1" s="1629"/>
      <c r="Z1" s="1629"/>
      <c r="AA1" s="1629"/>
      <c r="AB1" s="1629"/>
      <c r="AC1" s="1629"/>
      <c r="AD1" s="1629"/>
      <c r="AE1" s="1629"/>
    </row>
    <row r="2" spans="1:33" s="757" customFormat="1" ht="76.5" customHeight="1">
      <c r="A2" s="1630" t="s">
        <v>2</v>
      </c>
      <c r="B2" s="1630" t="s">
        <v>2</v>
      </c>
      <c r="C2" s="1729" t="s">
        <v>878</v>
      </c>
      <c r="D2" s="1729" t="s">
        <v>879</v>
      </c>
      <c r="E2" s="1730" t="s">
        <v>880</v>
      </c>
      <c r="F2" s="1731" t="s">
        <v>881</v>
      </c>
      <c r="G2" s="1731" t="s">
        <v>882</v>
      </c>
      <c r="H2" s="879"/>
      <c r="I2" s="1729" t="s">
        <v>883</v>
      </c>
      <c r="J2" s="1729"/>
      <c r="K2" s="1729"/>
      <c r="L2" s="1729"/>
      <c r="M2" s="1729"/>
      <c r="N2" s="1729"/>
      <c r="O2" s="1729"/>
      <c r="P2" s="1729"/>
      <c r="Q2" s="1729"/>
      <c r="R2" s="1731" t="s">
        <v>884</v>
      </c>
      <c r="S2" s="1729" t="s">
        <v>885</v>
      </c>
      <c r="T2" s="1729"/>
      <c r="U2" s="1729"/>
      <c r="V2" s="1729"/>
      <c r="W2" s="1729"/>
      <c r="X2" s="1729"/>
      <c r="Y2" s="1729"/>
      <c r="Z2" s="1729"/>
      <c r="AA2" s="1729"/>
      <c r="AB2" s="1729"/>
      <c r="AC2" s="1729"/>
      <c r="AD2" s="1729"/>
      <c r="AE2" s="1733" t="s">
        <v>886</v>
      </c>
      <c r="AF2" s="815"/>
    </row>
    <row r="3" spans="1:33" s="757" customFormat="1" ht="207" customHeight="1">
      <c r="A3" s="1630"/>
      <c r="B3" s="1630"/>
      <c r="C3" s="1729"/>
      <c r="D3" s="1729"/>
      <c r="E3" s="1730"/>
      <c r="F3" s="1731"/>
      <c r="G3" s="1731"/>
      <c r="H3" s="1732" t="s">
        <v>887</v>
      </c>
      <c r="I3" s="1729" t="s">
        <v>888</v>
      </c>
      <c r="J3" s="1729"/>
      <c r="K3" s="1729" t="s">
        <v>889</v>
      </c>
      <c r="L3" s="1729"/>
      <c r="M3" s="1729" t="s">
        <v>890</v>
      </c>
      <c r="N3" s="1729"/>
      <c r="O3" s="1729" t="s">
        <v>891</v>
      </c>
      <c r="P3" s="1729"/>
      <c r="Q3" s="866" t="s">
        <v>892</v>
      </c>
      <c r="R3" s="1731"/>
      <c r="S3" s="1729" t="s">
        <v>888</v>
      </c>
      <c r="T3" s="1729"/>
      <c r="U3" s="1729" t="s">
        <v>893</v>
      </c>
      <c r="V3" s="1729"/>
      <c r="W3" s="1729" t="s">
        <v>894</v>
      </c>
      <c r="X3" s="1729"/>
      <c r="Y3" s="1729" t="s">
        <v>891</v>
      </c>
      <c r="Z3" s="1729"/>
      <c r="AA3" s="1729" t="s">
        <v>287</v>
      </c>
      <c r="AB3" s="1729" t="s">
        <v>288</v>
      </c>
      <c r="AC3" s="1744" t="s">
        <v>895</v>
      </c>
      <c r="AD3" s="1729" t="s">
        <v>896</v>
      </c>
      <c r="AE3" s="1733"/>
      <c r="AF3" s="815"/>
    </row>
    <row r="4" spans="1:33" s="758" customFormat="1" ht="276">
      <c r="A4" s="1630"/>
      <c r="B4" s="1630"/>
      <c r="C4" s="1729"/>
      <c r="D4" s="1729"/>
      <c r="E4" s="1730"/>
      <c r="F4" s="1731"/>
      <c r="G4" s="1731"/>
      <c r="H4" s="1732"/>
      <c r="I4" s="866" t="s">
        <v>897</v>
      </c>
      <c r="J4" s="866" t="s">
        <v>898</v>
      </c>
      <c r="K4" s="866" t="s">
        <v>899</v>
      </c>
      <c r="L4" s="866" t="s">
        <v>898</v>
      </c>
      <c r="M4" s="866" t="s">
        <v>899</v>
      </c>
      <c r="N4" s="866" t="s">
        <v>898</v>
      </c>
      <c r="O4" s="866" t="s">
        <v>900</v>
      </c>
      <c r="P4" s="866" t="s">
        <v>898</v>
      </c>
      <c r="Q4" s="866" t="s">
        <v>898</v>
      </c>
      <c r="R4" s="1731"/>
      <c r="S4" s="866" t="s">
        <v>897</v>
      </c>
      <c r="T4" s="866" t="s">
        <v>898</v>
      </c>
      <c r="U4" s="866" t="s">
        <v>899</v>
      </c>
      <c r="V4" s="866" t="s">
        <v>898</v>
      </c>
      <c r="W4" s="866" t="s">
        <v>897</v>
      </c>
      <c r="X4" s="866" t="s">
        <v>898</v>
      </c>
      <c r="Y4" s="866" t="s">
        <v>900</v>
      </c>
      <c r="Z4" s="866" t="s">
        <v>898</v>
      </c>
      <c r="AA4" s="1729"/>
      <c r="AB4" s="1729"/>
      <c r="AC4" s="1744"/>
      <c r="AD4" s="1729"/>
      <c r="AE4" s="1733"/>
      <c r="AF4" s="816"/>
    </row>
    <row r="5" spans="1:33" s="759" customFormat="1" ht="75">
      <c r="A5" s="1741" t="s">
        <v>901</v>
      </c>
      <c r="B5" s="1741"/>
      <c r="C5" s="1741"/>
      <c r="D5" s="1741"/>
      <c r="E5" s="1741"/>
      <c r="F5" s="1741"/>
      <c r="G5" s="1741"/>
      <c r="H5" s="1741"/>
      <c r="I5" s="1741"/>
      <c r="J5" s="1741"/>
      <c r="K5" s="1741"/>
      <c r="L5" s="1741"/>
      <c r="M5" s="1741"/>
      <c r="N5" s="1741"/>
      <c r="O5" s="1741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1"/>
      <c r="AC5" s="1741"/>
      <c r="AD5" s="1741"/>
      <c r="AE5" s="1741"/>
      <c r="AF5" s="817"/>
    </row>
    <row r="6" spans="1:33" s="760" customFormat="1" ht="211.5">
      <c r="A6" s="769">
        <v>1</v>
      </c>
      <c r="B6" s="769">
        <v>1</v>
      </c>
      <c r="C6" s="790" t="s">
        <v>902</v>
      </c>
      <c r="D6" s="761" t="s">
        <v>903</v>
      </c>
      <c r="E6" s="767" t="s">
        <v>904</v>
      </c>
      <c r="F6" s="767">
        <v>6</v>
      </c>
      <c r="G6" s="768">
        <v>5</v>
      </c>
      <c r="H6" s="880"/>
      <c r="I6" s="767"/>
      <c r="J6" s="768"/>
      <c r="K6" s="767"/>
      <c r="L6" s="767"/>
      <c r="M6" s="769"/>
      <c r="N6" s="769"/>
      <c r="O6" s="769"/>
      <c r="P6" s="769"/>
      <c r="Q6" s="769"/>
      <c r="R6" s="769"/>
      <c r="S6" s="761">
        <v>25000</v>
      </c>
      <c r="T6" s="767">
        <f>S6*F6*(G6+H6)</f>
        <v>750000</v>
      </c>
      <c r="U6" s="761">
        <v>15000</v>
      </c>
      <c r="V6" s="767">
        <f>U6*F6*(G6+H6)</f>
        <v>450000</v>
      </c>
      <c r="W6" s="761">
        <v>14000</v>
      </c>
      <c r="X6" s="767">
        <f>W6*(G6+H6)</f>
        <v>70000</v>
      </c>
      <c r="Y6" s="761">
        <v>350000</v>
      </c>
      <c r="Z6" s="767">
        <f>Y6*(G6+H6)</f>
        <v>1750000</v>
      </c>
      <c r="AA6" s="761"/>
      <c r="AB6" s="761"/>
      <c r="AC6" s="761"/>
      <c r="AD6" s="762">
        <f>T6+V6+X6+Z6+AA6+AB6+AC6</f>
        <v>3020000</v>
      </c>
      <c r="AE6" s="762">
        <f>AD6+R6</f>
        <v>3020000</v>
      </c>
    </row>
    <row r="7" spans="1:33" s="760" customFormat="1" ht="409.5">
      <c r="A7" s="769">
        <v>2</v>
      </c>
      <c r="B7" s="769">
        <v>2</v>
      </c>
      <c r="C7" s="792" t="s">
        <v>905</v>
      </c>
      <c r="D7" s="798" t="s">
        <v>906</v>
      </c>
      <c r="E7" s="767" t="s">
        <v>907</v>
      </c>
      <c r="F7" s="767">
        <v>14</v>
      </c>
      <c r="G7" s="768">
        <v>8</v>
      </c>
      <c r="H7" s="880"/>
      <c r="I7" s="767">
        <v>8500</v>
      </c>
      <c r="J7" s="768">
        <f>(G7+H7)*I7*F7</f>
        <v>952000</v>
      </c>
      <c r="K7" s="767">
        <v>6500</v>
      </c>
      <c r="L7" s="767">
        <f>K7*F7*G7</f>
        <v>728000</v>
      </c>
      <c r="M7" s="769">
        <f>3605*2</f>
        <v>7210</v>
      </c>
      <c r="N7" s="769">
        <f>M7*H7*F7</f>
        <v>0</v>
      </c>
      <c r="O7" s="769">
        <v>10000</v>
      </c>
      <c r="P7" s="129">
        <f>O7*H7*2</f>
        <v>0</v>
      </c>
      <c r="Q7" s="769"/>
      <c r="R7" s="129">
        <f>SUM(J7+L7+N7+P7)+Q7</f>
        <v>1680000</v>
      </c>
      <c r="S7" s="761"/>
      <c r="T7" s="767"/>
      <c r="U7" s="761"/>
      <c r="V7" s="767"/>
      <c r="W7" s="761"/>
      <c r="X7" s="767"/>
      <c r="Y7" s="761"/>
      <c r="Z7" s="767"/>
      <c r="AA7" s="761"/>
      <c r="AB7" s="761"/>
      <c r="AC7" s="761"/>
      <c r="AD7" s="762"/>
      <c r="AE7" s="762">
        <f>AD7+R7</f>
        <v>1680000</v>
      </c>
    </row>
    <row r="8" spans="1:33" s="760" customFormat="1" ht="409.5">
      <c r="A8" s="769">
        <v>3</v>
      </c>
      <c r="B8" s="769">
        <v>3</v>
      </c>
      <c r="C8" s="792" t="s">
        <v>908</v>
      </c>
      <c r="D8" s="761" t="s">
        <v>906</v>
      </c>
      <c r="E8" s="767" t="s">
        <v>907</v>
      </c>
      <c r="F8" s="791">
        <v>14</v>
      </c>
      <c r="G8" s="768">
        <v>8</v>
      </c>
      <c r="H8" s="880"/>
      <c r="I8" s="767">
        <v>8500</v>
      </c>
      <c r="J8" s="768">
        <f>(G8+H8)*I8*F8</f>
        <v>952000</v>
      </c>
      <c r="K8" s="767">
        <v>6500</v>
      </c>
      <c r="L8" s="767">
        <f>K8*F8*G8</f>
        <v>728000</v>
      </c>
      <c r="M8" s="769">
        <f>3605*2</f>
        <v>7210</v>
      </c>
      <c r="N8" s="769">
        <f>M8*H8*F8</f>
        <v>0</v>
      </c>
      <c r="O8" s="769">
        <v>10000</v>
      </c>
      <c r="P8" s="129">
        <f>O8*H8*2</f>
        <v>0</v>
      </c>
      <c r="Q8" s="769"/>
      <c r="R8" s="769">
        <f>SUM(J8+L8+N8+P8)+Q8</f>
        <v>1680000</v>
      </c>
      <c r="S8" s="769"/>
      <c r="T8" s="769"/>
      <c r="U8" s="769"/>
      <c r="V8" s="769"/>
      <c r="W8" s="769"/>
      <c r="X8" s="769"/>
      <c r="Y8" s="769"/>
      <c r="Z8" s="769"/>
      <c r="AA8" s="769"/>
      <c r="AB8" s="769"/>
      <c r="AC8" s="769"/>
      <c r="AD8" s="762"/>
      <c r="AE8" s="762">
        <f>R8+AD8</f>
        <v>1680000</v>
      </c>
    </row>
    <row r="9" spans="1:33" s="760" customFormat="1" ht="138">
      <c r="A9" s="769">
        <v>4</v>
      </c>
      <c r="B9" s="769">
        <v>4</v>
      </c>
      <c r="C9" s="790" t="s">
        <v>909</v>
      </c>
      <c r="D9" s="761" t="s">
        <v>906</v>
      </c>
      <c r="E9" s="767" t="s">
        <v>910</v>
      </c>
      <c r="F9" s="767">
        <v>7</v>
      </c>
      <c r="G9" s="768">
        <v>8</v>
      </c>
      <c r="H9" s="880"/>
      <c r="I9" s="767"/>
      <c r="J9" s="768"/>
      <c r="K9" s="767"/>
      <c r="L9" s="767"/>
      <c r="M9" s="769"/>
      <c r="N9" s="769"/>
      <c r="O9" s="769"/>
      <c r="P9" s="769"/>
      <c r="Q9" s="769"/>
      <c r="R9" s="769"/>
      <c r="S9" s="761">
        <v>43500</v>
      </c>
      <c r="T9" s="767">
        <f>S9*F9*(G9+H9)</f>
        <v>2436000</v>
      </c>
      <c r="U9" s="761">
        <v>43500</v>
      </c>
      <c r="V9" s="767">
        <f>U9*F9*(G9+H9)</f>
        <v>2436000</v>
      </c>
      <c r="W9" s="761">
        <v>14000</v>
      </c>
      <c r="X9" s="767">
        <f>W9*(G9+H9)</f>
        <v>112000</v>
      </c>
      <c r="Y9" s="761">
        <v>500000</v>
      </c>
      <c r="Z9" s="767">
        <f>Y9*(G9+H9)</f>
        <v>4000000</v>
      </c>
      <c r="AA9" s="761">
        <f>55000*(G9+H9)</f>
        <v>440000</v>
      </c>
      <c r="AB9" s="761"/>
      <c r="AC9" s="761"/>
      <c r="AD9" s="762">
        <f>T9+V9+X9+Z9+AA9+AB9+AC9</f>
        <v>9424000</v>
      </c>
      <c r="AE9" s="762">
        <f>AD9+R9</f>
        <v>9424000</v>
      </c>
    </row>
    <row r="10" spans="1:33" s="760" customFormat="1" ht="409.5">
      <c r="A10" s="769">
        <v>5</v>
      </c>
      <c r="B10" s="769">
        <v>5</v>
      </c>
      <c r="C10" s="792" t="s">
        <v>911</v>
      </c>
      <c r="D10" s="761" t="s">
        <v>912</v>
      </c>
      <c r="E10" s="767" t="s">
        <v>907</v>
      </c>
      <c r="F10" s="791">
        <v>18</v>
      </c>
      <c r="G10" s="768">
        <v>8</v>
      </c>
      <c r="H10" s="880"/>
      <c r="I10" s="767">
        <v>8500</v>
      </c>
      <c r="J10" s="768">
        <f>(G10+H10)*I10*F10</f>
        <v>1224000</v>
      </c>
      <c r="K10" s="767">
        <v>6500</v>
      </c>
      <c r="L10" s="767">
        <f>K10*F10*G10</f>
        <v>936000</v>
      </c>
      <c r="M10" s="769">
        <f>3605*2</f>
        <v>7210</v>
      </c>
      <c r="N10" s="769">
        <f>M10*H10*F10</f>
        <v>0</v>
      </c>
      <c r="O10" s="769">
        <v>10000</v>
      </c>
      <c r="P10" s="129">
        <f>O10*H10*2</f>
        <v>0</v>
      </c>
      <c r="Q10" s="769"/>
      <c r="R10" s="769">
        <f>SUM(J10+L10+N10+P10)+Q10</f>
        <v>2160000</v>
      </c>
      <c r="S10" s="769"/>
      <c r="T10" s="769"/>
      <c r="U10" s="769"/>
      <c r="V10" s="769"/>
      <c r="W10" s="769"/>
      <c r="X10" s="769"/>
      <c r="Y10" s="769"/>
      <c r="Z10" s="769"/>
      <c r="AA10" s="769"/>
      <c r="AB10" s="769"/>
      <c r="AC10" s="769"/>
      <c r="AD10" s="762"/>
      <c r="AE10" s="762">
        <f>R10+AD10</f>
        <v>2160000</v>
      </c>
    </row>
    <row r="11" spans="1:33" s="760" customFormat="1" ht="211.5">
      <c r="A11" s="769">
        <v>6</v>
      </c>
      <c r="B11" s="769">
        <v>6</v>
      </c>
      <c r="C11" s="790" t="s">
        <v>913</v>
      </c>
      <c r="D11" s="761" t="s">
        <v>912</v>
      </c>
      <c r="E11" s="767" t="s">
        <v>910</v>
      </c>
      <c r="F11" s="767">
        <v>6</v>
      </c>
      <c r="G11" s="768">
        <v>5</v>
      </c>
      <c r="H11" s="880"/>
      <c r="I11" s="767"/>
      <c r="J11" s="768"/>
      <c r="K11" s="767"/>
      <c r="L11" s="767"/>
      <c r="M11" s="769"/>
      <c r="N11" s="769"/>
      <c r="O11" s="769"/>
      <c r="P11" s="769"/>
      <c r="Q11" s="769"/>
      <c r="R11" s="769"/>
      <c r="S11" s="761">
        <v>43500</v>
      </c>
      <c r="T11" s="767">
        <f t="shared" ref="T11:T12" si="0">S11*F11*(G11+H11)</f>
        <v>1305000</v>
      </c>
      <c r="U11" s="761">
        <v>43500</v>
      </c>
      <c r="V11" s="767">
        <f t="shared" ref="V11:V12" si="1">U11*F11*(G11+H11)</f>
        <v>1305000</v>
      </c>
      <c r="W11" s="761">
        <v>14000</v>
      </c>
      <c r="X11" s="767">
        <f t="shared" ref="X11:X12" si="2">W11*(G11+H11)</f>
        <v>70000</v>
      </c>
      <c r="Y11" s="761">
        <v>500000</v>
      </c>
      <c r="Z11" s="767">
        <f>Y11*(G11+H11)</f>
        <v>2500000</v>
      </c>
      <c r="AA11" s="761">
        <f>55000*(G11+H11)</f>
        <v>275000</v>
      </c>
      <c r="AB11" s="761"/>
      <c r="AC11" s="761">
        <v>89293</v>
      </c>
      <c r="AD11" s="762">
        <f>T11+V11+X11+Z11+AA11+AB11+AC11</f>
        <v>5544293</v>
      </c>
      <c r="AE11" s="762">
        <f>AD11+R11</f>
        <v>5544293</v>
      </c>
    </row>
    <row r="12" spans="1:33" s="760" customFormat="1" ht="211.5">
      <c r="A12" s="769">
        <v>7</v>
      </c>
      <c r="B12" s="769">
        <v>7</v>
      </c>
      <c r="C12" s="790" t="s">
        <v>914</v>
      </c>
      <c r="D12" s="761" t="s">
        <v>915</v>
      </c>
      <c r="E12" s="767" t="s">
        <v>904</v>
      </c>
      <c r="F12" s="767">
        <v>7</v>
      </c>
      <c r="G12" s="768">
        <v>5</v>
      </c>
      <c r="H12" s="880"/>
      <c r="I12" s="767"/>
      <c r="J12" s="768"/>
      <c r="K12" s="767"/>
      <c r="L12" s="767"/>
      <c r="M12" s="769"/>
      <c r="N12" s="769"/>
      <c r="O12" s="769"/>
      <c r="P12" s="769"/>
      <c r="Q12" s="769"/>
      <c r="R12" s="769"/>
      <c r="S12" s="761">
        <v>43500</v>
      </c>
      <c r="T12" s="767">
        <f t="shared" si="0"/>
        <v>1522500</v>
      </c>
      <c r="U12" s="761">
        <v>43500</v>
      </c>
      <c r="V12" s="767">
        <f t="shared" si="1"/>
        <v>1522500</v>
      </c>
      <c r="W12" s="761">
        <v>14000</v>
      </c>
      <c r="X12" s="767">
        <f t="shared" si="2"/>
        <v>70000</v>
      </c>
      <c r="Y12" s="761">
        <v>400000</v>
      </c>
      <c r="Z12" s="767">
        <f>Y12*(G12+H12)</f>
        <v>2000000</v>
      </c>
      <c r="AA12" s="761"/>
      <c r="AB12" s="761"/>
      <c r="AC12" s="761">
        <v>150000</v>
      </c>
      <c r="AD12" s="762">
        <f>T12+V12+X12+Z12+AA12+AB12+AC12</f>
        <v>5265000</v>
      </c>
      <c r="AE12" s="762">
        <f>AD12+R12</f>
        <v>5265000</v>
      </c>
    </row>
    <row r="13" spans="1:33" s="765" customFormat="1" ht="80.25" customHeight="1">
      <c r="A13" s="1742" t="s">
        <v>886</v>
      </c>
      <c r="B13" s="1742"/>
      <c r="C13" s="1742"/>
      <c r="D13" s="1742"/>
      <c r="E13" s="1742"/>
      <c r="F13" s="1742"/>
      <c r="G13" s="1742"/>
      <c r="H13" s="1742"/>
      <c r="I13" s="793"/>
      <c r="J13" s="820">
        <f>SUM(J6:J12)</f>
        <v>3128000</v>
      </c>
      <c r="K13" s="763"/>
      <c r="L13" s="820">
        <f>SUM(L6:L12)</f>
        <v>2392000</v>
      </c>
      <c r="M13" s="763"/>
      <c r="N13" s="820">
        <f>SUM(N6:N12)</f>
        <v>0</v>
      </c>
      <c r="O13" s="763"/>
      <c r="P13" s="820">
        <f>SUM(P6:P12)</f>
        <v>0</v>
      </c>
      <c r="Q13" s="794"/>
      <c r="R13" s="820">
        <f>SUM(R6:R12)</f>
        <v>5520000</v>
      </c>
      <c r="S13" s="794"/>
      <c r="T13" s="820">
        <f>SUM(T6:T12)</f>
        <v>6013500</v>
      </c>
      <c r="U13" s="794"/>
      <c r="V13" s="820">
        <f>SUM(V6:V12)</f>
        <v>5713500</v>
      </c>
      <c r="W13" s="794"/>
      <c r="X13" s="820">
        <f>SUM(X6:X12)</f>
        <v>322000</v>
      </c>
      <c r="Y13" s="794"/>
      <c r="Z13" s="820">
        <f>SUM(Z6:Z12)</f>
        <v>10250000</v>
      </c>
      <c r="AA13" s="820">
        <f>SUM(AA6:AA12)</f>
        <v>715000</v>
      </c>
      <c r="AB13" s="794"/>
      <c r="AC13" s="820">
        <f t="shared" ref="AC13:AD13" si="3">SUM(AC6:AC12)</f>
        <v>239293</v>
      </c>
      <c r="AD13" s="820">
        <f t="shared" si="3"/>
        <v>23253293</v>
      </c>
      <c r="AE13" s="820">
        <f>SUM(AE6:AE12)</f>
        <v>28773293</v>
      </c>
      <c r="AF13" s="818">
        <f>V13+X13+Z13+AB13+AC13+AD13+AE13</f>
        <v>68551379</v>
      </c>
      <c r="AG13" s="764">
        <f>T13+AF13</f>
        <v>74564879</v>
      </c>
    </row>
    <row r="14" spans="1:33" s="766" customFormat="1" ht="69">
      <c r="A14" s="1736" t="s">
        <v>916</v>
      </c>
      <c r="B14" s="1736"/>
      <c r="C14" s="1736"/>
      <c r="D14" s="1736"/>
      <c r="E14" s="1736"/>
      <c r="F14" s="1736"/>
      <c r="G14" s="1736"/>
      <c r="H14" s="1736"/>
      <c r="I14" s="1736"/>
      <c r="J14" s="1736"/>
      <c r="K14" s="1736"/>
      <c r="L14" s="1736"/>
      <c r="M14" s="1736"/>
      <c r="N14" s="1736"/>
      <c r="O14" s="1736"/>
      <c r="P14" s="1736"/>
      <c r="Q14" s="1736"/>
      <c r="R14" s="1736"/>
      <c r="S14" s="1736"/>
      <c r="T14" s="1736"/>
      <c r="U14" s="1736"/>
      <c r="V14" s="1736"/>
      <c r="W14" s="1736"/>
      <c r="X14" s="1736"/>
      <c r="Y14" s="1736"/>
      <c r="Z14" s="1736"/>
      <c r="AA14" s="1736"/>
      <c r="AB14" s="1736"/>
      <c r="AC14" s="1736"/>
      <c r="AD14" s="1736"/>
      <c r="AE14" s="1736"/>
    </row>
    <row r="15" spans="1:33" s="770" customFormat="1" ht="141">
      <c r="A15" s="769">
        <v>8</v>
      </c>
      <c r="B15" s="769">
        <v>1</v>
      </c>
      <c r="C15" s="795" t="s">
        <v>917</v>
      </c>
      <c r="D15" s="761" t="s">
        <v>918</v>
      </c>
      <c r="E15" s="767" t="s">
        <v>904</v>
      </c>
      <c r="F15" s="767">
        <v>6</v>
      </c>
      <c r="G15" s="768">
        <v>4</v>
      </c>
      <c r="H15" s="880"/>
      <c r="I15" s="767"/>
      <c r="J15" s="768"/>
      <c r="K15" s="767"/>
      <c r="L15" s="767"/>
      <c r="M15" s="769"/>
      <c r="N15" s="769"/>
      <c r="O15" s="769"/>
      <c r="P15" s="769"/>
      <c r="Q15" s="769"/>
      <c r="R15" s="769"/>
      <c r="S15" s="761">
        <v>25000</v>
      </c>
      <c r="T15" s="767">
        <f t="shared" ref="T15:T17" si="4">S15*F15*(G15+H15)</f>
        <v>600000</v>
      </c>
      <c r="U15" s="761">
        <v>15000</v>
      </c>
      <c r="V15" s="767">
        <f t="shared" ref="V15:V17" si="5">U15*F15*(G15+H15)</f>
        <v>360000</v>
      </c>
      <c r="W15" s="761">
        <v>14000</v>
      </c>
      <c r="X15" s="767">
        <f t="shared" ref="X15:X17" si="6">W15*(G15+H15)</f>
        <v>56000</v>
      </c>
      <c r="Y15" s="761">
        <v>350000</v>
      </c>
      <c r="Z15" s="767">
        <f t="shared" ref="Z15:Z17" si="7">Y15*(G15+H15)</f>
        <v>1400000</v>
      </c>
      <c r="AA15" s="761"/>
      <c r="AB15" s="761"/>
      <c r="AC15" s="761"/>
      <c r="AD15" s="762">
        <f>T15+V15+X15+Z15+AA15+AB15+AC15</f>
        <v>2416000</v>
      </c>
      <c r="AE15" s="762">
        <f>AD15+R15</f>
        <v>2416000</v>
      </c>
      <c r="AF15" s="819">
        <f>SUM(AD14,R14)</f>
        <v>0</v>
      </c>
    </row>
    <row r="16" spans="1:33" s="756" customFormat="1" ht="76.5">
      <c r="A16" s="769">
        <v>9</v>
      </c>
      <c r="B16" s="769">
        <v>2</v>
      </c>
      <c r="C16" s="795" t="s">
        <v>917</v>
      </c>
      <c r="D16" s="761" t="s">
        <v>919</v>
      </c>
      <c r="E16" s="767" t="s">
        <v>920</v>
      </c>
      <c r="F16" s="767">
        <v>6</v>
      </c>
      <c r="G16" s="768">
        <v>4</v>
      </c>
      <c r="H16" s="880"/>
      <c r="I16" s="767"/>
      <c r="J16" s="768"/>
      <c r="K16" s="767"/>
      <c r="L16" s="767"/>
      <c r="M16" s="769"/>
      <c r="N16" s="769"/>
      <c r="O16" s="769"/>
      <c r="P16" s="769"/>
      <c r="Q16" s="769"/>
      <c r="R16" s="769"/>
      <c r="S16" s="761">
        <v>25000</v>
      </c>
      <c r="T16" s="767">
        <f t="shared" si="4"/>
        <v>600000</v>
      </c>
      <c r="U16" s="761">
        <v>15000</v>
      </c>
      <c r="V16" s="767">
        <f t="shared" si="5"/>
        <v>360000</v>
      </c>
      <c r="W16" s="761">
        <v>14000</v>
      </c>
      <c r="X16" s="767">
        <f t="shared" si="6"/>
        <v>56000</v>
      </c>
      <c r="Y16" s="761">
        <v>350000</v>
      </c>
      <c r="Z16" s="767">
        <f t="shared" si="7"/>
        <v>1400000</v>
      </c>
      <c r="AA16" s="761">
        <f>55000*(G16+H16)</f>
        <v>220000</v>
      </c>
      <c r="AB16" s="761"/>
      <c r="AC16" s="761"/>
      <c r="AD16" s="762">
        <f t="shared" ref="AD16:AD17" si="8">T16+V16+X16+Z16+AA16+AB16+AC16</f>
        <v>2636000</v>
      </c>
      <c r="AE16" s="762">
        <f t="shared" ref="AE16:AE21" si="9">AD16+R16</f>
        <v>2636000</v>
      </c>
    </row>
    <row r="17" spans="1:31" s="756" customFormat="1" ht="76.5">
      <c r="A17" s="769">
        <v>10</v>
      </c>
      <c r="B17" s="769">
        <v>3</v>
      </c>
      <c r="C17" s="795" t="s">
        <v>917</v>
      </c>
      <c r="D17" s="761" t="s">
        <v>919</v>
      </c>
      <c r="E17" s="767" t="s">
        <v>921</v>
      </c>
      <c r="F17" s="767">
        <v>6</v>
      </c>
      <c r="G17" s="768">
        <v>4</v>
      </c>
      <c r="H17" s="880"/>
      <c r="I17" s="767"/>
      <c r="J17" s="768"/>
      <c r="K17" s="767"/>
      <c r="L17" s="767"/>
      <c r="M17" s="769"/>
      <c r="N17" s="769"/>
      <c r="O17" s="769"/>
      <c r="P17" s="769"/>
      <c r="Q17" s="769"/>
      <c r="R17" s="769"/>
      <c r="S17" s="761">
        <v>25000</v>
      </c>
      <c r="T17" s="767">
        <f t="shared" si="4"/>
        <v>600000</v>
      </c>
      <c r="U17" s="761">
        <v>15000</v>
      </c>
      <c r="V17" s="767">
        <f t="shared" si="5"/>
        <v>360000</v>
      </c>
      <c r="W17" s="761">
        <v>14000</v>
      </c>
      <c r="X17" s="767">
        <f t="shared" si="6"/>
        <v>56000</v>
      </c>
      <c r="Y17" s="761">
        <v>350000</v>
      </c>
      <c r="Z17" s="767">
        <f t="shared" si="7"/>
        <v>1400000</v>
      </c>
      <c r="AA17" s="761">
        <f>55000*(G17+H17)</f>
        <v>220000</v>
      </c>
      <c r="AB17" s="761"/>
      <c r="AC17" s="761"/>
      <c r="AD17" s="762">
        <f t="shared" si="8"/>
        <v>2636000</v>
      </c>
      <c r="AE17" s="762">
        <f t="shared" si="9"/>
        <v>2636000</v>
      </c>
    </row>
    <row r="18" spans="1:31" s="756" customFormat="1" ht="409.5">
      <c r="A18" s="769">
        <v>11</v>
      </c>
      <c r="B18" s="769">
        <v>4</v>
      </c>
      <c r="C18" s="795" t="s">
        <v>922</v>
      </c>
      <c r="D18" s="761" t="s">
        <v>923</v>
      </c>
      <c r="E18" s="767" t="s">
        <v>907</v>
      </c>
      <c r="F18" s="791">
        <v>15</v>
      </c>
      <c r="G18" s="768">
        <v>8</v>
      </c>
      <c r="H18" s="880"/>
      <c r="I18" s="767">
        <v>8500</v>
      </c>
      <c r="J18" s="768">
        <f>(G18+H18)*I18*F18</f>
        <v>1020000</v>
      </c>
      <c r="K18" s="767">
        <f>3450*2.5</f>
        <v>8625</v>
      </c>
      <c r="L18" s="767">
        <f>K18*F18*G18</f>
        <v>1035000</v>
      </c>
      <c r="M18" s="769">
        <f>3605*2</f>
        <v>7210</v>
      </c>
      <c r="N18" s="769">
        <f>M18*H18*F18</f>
        <v>0</v>
      </c>
      <c r="O18" s="769">
        <v>10000</v>
      </c>
      <c r="P18" s="129">
        <f>O18*H18*2</f>
        <v>0</v>
      </c>
      <c r="Q18" s="769"/>
      <c r="R18" s="769">
        <f>SUM(J18+L18+N18+P18)+Q18</f>
        <v>2055000</v>
      </c>
      <c r="S18" s="769"/>
      <c r="T18" s="769"/>
      <c r="U18" s="769"/>
      <c r="V18" s="769"/>
      <c r="W18" s="769"/>
      <c r="X18" s="769"/>
      <c r="Y18" s="769"/>
      <c r="Z18" s="769"/>
      <c r="AA18" s="769"/>
      <c r="AB18" s="769"/>
      <c r="AC18" s="769"/>
      <c r="AD18" s="762"/>
      <c r="AE18" s="762">
        <f t="shared" si="9"/>
        <v>2055000</v>
      </c>
    </row>
    <row r="19" spans="1:31" s="756" customFormat="1" ht="211.5">
      <c r="A19" s="769">
        <v>12</v>
      </c>
      <c r="B19" s="769">
        <v>5</v>
      </c>
      <c r="C19" s="790" t="s">
        <v>909</v>
      </c>
      <c r="D19" s="761" t="s">
        <v>912</v>
      </c>
      <c r="E19" s="767" t="s">
        <v>910</v>
      </c>
      <c r="F19" s="767">
        <v>7</v>
      </c>
      <c r="G19" s="768">
        <v>8</v>
      </c>
      <c r="H19" s="880"/>
      <c r="I19" s="767"/>
      <c r="J19" s="768"/>
      <c r="K19" s="767"/>
      <c r="L19" s="767"/>
      <c r="M19" s="769"/>
      <c r="N19" s="769"/>
      <c r="O19" s="769"/>
      <c r="P19" s="769"/>
      <c r="Q19" s="769"/>
      <c r="R19" s="769"/>
      <c r="S19" s="761">
        <v>43500</v>
      </c>
      <c r="T19" s="767">
        <f>S19*F19*(G19+H19)</f>
        <v>2436000</v>
      </c>
      <c r="U19" s="761">
        <v>43500</v>
      </c>
      <c r="V19" s="767">
        <f>U19*F19*(G19+H19)</f>
        <v>2436000</v>
      </c>
      <c r="W19" s="761">
        <v>14000</v>
      </c>
      <c r="X19" s="767">
        <f>W19*(G19+H19)</f>
        <v>112000</v>
      </c>
      <c r="Y19" s="761">
        <v>400000</v>
      </c>
      <c r="Z19" s="767">
        <f>Y19*(G19+H19)</f>
        <v>3200000</v>
      </c>
      <c r="AA19" s="761">
        <f>55000*(G19+H19)</f>
        <v>440000</v>
      </c>
      <c r="AB19" s="761"/>
      <c r="AC19" s="761">
        <v>89293</v>
      </c>
      <c r="AD19" s="762">
        <f>T19+V19+X19+Z19+AA19+AB19+AC19</f>
        <v>8713293</v>
      </c>
      <c r="AE19" s="762">
        <f t="shared" si="9"/>
        <v>8713293</v>
      </c>
    </row>
    <row r="20" spans="1:31" s="756" customFormat="1" ht="409.5">
      <c r="A20" s="769">
        <v>13</v>
      </c>
      <c r="B20" s="769">
        <v>6</v>
      </c>
      <c r="C20" s="795" t="s">
        <v>924</v>
      </c>
      <c r="D20" s="761" t="s">
        <v>925</v>
      </c>
      <c r="E20" s="767" t="s">
        <v>907</v>
      </c>
      <c r="F20" s="791">
        <v>14</v>
      </c>
      <c r="G20" s="768">
        <v>8</v>
      </c>
      <c r="H20" s="880"/>
      <c r="I20" s="767">
        <v>8500</v>
      </c>
      <c r="J20" s="768">
        <f>(G20+H20)*I20*F20</f>
        <v>952000</v>
      </c>
      <c r="K20" s="767">
        <f>3450*2.5</f>
        <v>8625</v>
      </c>
      <c r="L20" s="767">
        <f>K20*F20*G20</f>
        <v>966000</v>
      </c>
      <c r="M20" s="769">
        <f>3605*2</f>
        <v>7210</v>
      </c>
      <c r="N20" s="769">
        <f>M20*H20*F20</f>
        <v>0</v>
      </c>
      <c r="O20" s="769">
        <v>10000</v>
      </c>
      <c r="P20" s="129">
        <f>O20*H20*2</f>
        <v>0</v>
      </c>
      <c r="Q20" s="769"/>
      <c r="R20" s="769">
        <f>SUM(J20+L20+N20+P20)+Q20</f>
        <v>1918000</v>
      </c>
      <c r="S20" s="769"/>
      <c r="T20" s="769"/>
      <c r="U20" s="769"/>
      <c r="V20" s="769"/>
      <c r="W20" s="769"/>
      <c r="X20" s="769"/>
      <c r="Y20" s="769"/>
      <c r="Z20" s="769"/>
      <c r="AA20" s="769"/>
      <c r="AB20" s="769"/>
      <c r="AC20" s="769"/>
      <c r="AD20" s="762"/>
      <c r="AE20" s="762">
        <f t="shared" si="9"/>
        <v>1918000</v>
      </c>
    </row>
    <row r="21" spans="1:31" s="756" customFormat="1" ht="138">
      <c r="A21" s="789">
        <v>14</v>
      </c>
      <c r="B21" s="768">
        <v>7</v>
      </c>
      <c r="C21" s="790" t="s">
        <v>914</v>
      </c>
      <c r="D21" s="761" t="s">
        <v>926</v>
      </c>
      <c r="E21" s="767" t="s">
        <v>927</v>
      </c>
      <c r="F21" s="767">
        <v>7</v>
      </c>
      <c r="G21" s="768">
        <v>8</v>
      </c>
      <c r="H21" s="880"/>
      <c r="I21" s="767"/>
      <c r="J21" s="768"/>
      <c r="K21" s="767"/>
      <c r="L21" s="767"/>
      <c r="M21" s="769"/>
      <c r="N21" s="769"/>
      <c r="O21" s="769"/>
      <c r="P21" s="769"/>
      <c r="Q21" s="769"/>
      <c r="R21" s="769"/>
      <c r="S21" s="761">
        <v>43500</v>
      </c>
      <c r="T21" s="767">
        <f>S21*F21*(G21+H21)</f>
        <v>2436000</v>
      </c>
      <c r="U21" s="761">
        <v>43500</v>
      </c>
      <c r="V21" s="767">
        <f>U21*F21*(G21+H21)</f>
        <v>2436000</v>
      </c>
      <c r="W21" s="761">
        <v>14000</v>
      </c>
      <c r="X21" s="767">
        <f>W21*(G21+H21)</f>
        <v>112000</v>
      </c>
      <c r="Y21" s="761">
        <v>400000</v>
      </c>
      <c r="Z21" s="767">
        <f>Y21*(G21+H21)</f>
        <v>3200000</v>
      </c>
      <c r="AA21" s="761">
        <f>55000*(G21+H21)</f>
        <v>440000</v>
      </c>
      <c r="AB21" s="761"/>
      <c r="AC21" s="761"/>
      <c r="AD21" s="762">
        <f>T21+V21+X21+Z21+AA21+AB21+AC21</f>
        <v>8624000</v>
      </c>
      <c r="AE21" s="762">
        <f t="shared" si="9"/>
        <v>8624000</v>
      </c>
    </row>
    <row r="22" spans="1:31" s="756" customFormat="1" ht="76.5" customHeight="1">
      <c r="A22" s="1661" t="s">
        <v>886</v>
      </c>
      <c r="B22" s="1661"/>
      <c r="C22" s="1661"/>
      <c r="D22" s="1661"/>
      <c r="E22" s="1661"/>
      <c r="F22" s="1661"/>
      <c r="G22" s="1661"/>
      <c r="H22" s="1661"/>
      <c r="I22" s="870"/>
      <c r="J22" s="870">
        <f>SUM(J15:J21)</f>
        <v>1972000</v>
      </c>
      <c r="K22" s="870"/>
      <c r="L22" s="870">
        <f>SUM(L15:L21)</f>
        <v>2001000</v>
      </c>
      <c r="M22" s="870"/>
      <c r="N22" s="870">
        <f>SUM(N15:N21)</f>
        <v>0</v>
      </c>
      <c r="O22" s="869"/>
      <c r="P22" s="870">
        <f>SUM(P15:P21)</f>
        <v>0</v>
      </c>
      <c r="Q22" s="869"/>
      <c r="R22" s="870">
        <f>SUM(R15:R21)</f>
        <v>3973000</v>
      </c>
      <c r="S22" s="869"/>
      <c r="T22" s="870">
        <f>SUM(T15:T21)</f>
        <v>6672000</v>
      </c>
      <c r="U22" s="869"/>
      <c r="V22" s="870">
        <f>SUM(V15:V21)</f>
        <v>5952000</v>
      </c>
      <c r="W22" s="869"/>
      <c r="X22" s="870">
        <f>SUM(X15:X21)</f>
        <v>392000</v>
      </c>
      <c r="Y22" s="869"/>
      <c r="Z22" s="870">
        <f t="shared" ref="Z22:AA22" si="10">SUM(Z15:Z21)</f>
        <v>10600000</v>
      </c>
      <c r="AA22" s="870">
        <f t="shared" si="10"/>
        <v>1320000</v>
      </c>
      <c r="AB22" s="870"/>
      <c r="AC22" s="870">
        <f t="shared" ref="AC22:AD22" si="11">SUM(AC15:AC21)</f>
        <v>89293</v>
      </c>
      <c r="AD22" s="870">
        <f t="shared" si="11"/>
        <v>25025293</v>
      </c>
      <c r="AE22" s="870">
        <f>SUM(AE15:AE21)</f>
        <v>28998293</v>
      </c>
    </row>
    <row r="23" spans="1:31" s="771" customFormat="1" ht="76.5">
      <c r="A23" s="1738" t="s">
        <v>928</v>
      </c>
      <c r="B23" s="1738"/>
      <c r="C23" s="1738"/>
      <c r="D23" s="1738"/>
      <c r="E23" s="1738"/>
      <c r="F23" s="1738"/>
      <c r="G23" s="1738"/>
      <c r="H23" s="1738"/>
      <c r="I23" s="1738"/>
      <c r="J23" s="1738"/>
      <c r="K23" s="1738"/>
      <c r="L23" s="1738"/>
      <c r="M23" s="1738"/>
      <c r="N23" s="1738"/>
      <c r="O23" s="1738"/>
      <c r="P23" s="1738"/>
      <c r="Q23" s="1738"/>
      <c r="R23" s="1738"/>
      <c r="S23" s="1738"/>
      <c r="T23" s="1738"/>
      <c r="U23" s="1738"/>
      <c r="V23" s="1738"/>
      <c r="W23" s="1738"/>
      <c r="X23" s="1738"/>
      <c r="Y23" s="1738"/>
      <c r="Z23" s="1738"/>
      <c r="AA23" s="1738"/>
      <c r="AB23" s="1738"/>
      <c r="AC23" s="1738"/>
      <c r="AD23" s="1738"/>
      <c r="AE23" s="1738"/>
    </row>
    <row r="24" spans="1:31" s="756" customFormat="1" ht="409.5">
      <c r="A24" s="796">
        <v>15</v>
      </c>
      <c r="B24" s="126">
        <v>1</v>
      </c>
      <c r="C24" s="797" t="s">
        <v>929</v>
      </c>
      <c r="D24" s="798" t="s">
        <v>930</v>
      </c>
      <c r="E24" s="798" t="s">
        <v>931</v>
      </c>
      <c r="F24" s="772">
        <v>10</v>
      </c>
      <c r="G24" s="772">
        <v>10</v>
      </c>
      <c r="H24" s="881"/>
      <c r="I24" s="773">
        <v>9000</v>
      </c>
      <c r="J24" s="768">
        <f>(G24+H24)*I24*F24</f>
        <v>900000</v>
      </c>
      <c r="K24" s="773">
        <v>8000</v>
      </c>
      <c r="L24" s="767">
        <f t="shared" ref="L24:L25" si="12">K24*F24*G24</f>
        <v>800000</v>
      </c>
      <c r="M24" s="769">
        <f>3605*2</f>
        <v>7210</v>
      </c>
      <c r="N24" s="769">
        <f t="shared" ref="N24:N25" si="13">M24*H24*F24</f>
        <v>0</v>
      </c>
      <c r="O24" s="774">
        <v>10000</v>
      </c>
      <c r="P24" s="129">
        <f t="shared" ref="P24:P25" si="14">O24*H24*2</f>
        <v>0</v>
      </c>
      <c r="Q24" s="774"/>
      <c r="R24" s="769">
        <f>SUM(J24+L24+N24+P24)+Q24</f>
        <v>1700000</v>
      </c>
      <c r="S24" s="772"/>
      <c r="T24" s="773"/>
      <c r="U24" s="772"/>
      <c r="V24" s="773"/>
      <c r="W24" s="774"/>
      <c r="X24" s="774"/>
      <c r="Y24" s="774"/>
      <c r="Z24" s="774"/>
      <c r="AA24" s="774"/>
      <c r="AB24" s="774"/>
      <c r="AC24" s="774"/>
      <c r="AD24" s="773"/>
      <c r="AE24" s="773">
        <f>AD24+R24</f>
        <v>1700000</v>
      </c>
    </row>
    <row r="25" spans="1:31" s="756" customFormat="1" ht="352.5">
      <c r="A25" s="796">
        <v>16</v>
      </c>
      <c r="B25" s="126">
        <v>2</v>
      </c>
      <c r="C25" s="797" t="s">
        <v>932</v>
      </c>
      <c r="D25" s="798" t="s">
        <v>933</v>
      </c>
      <c r="E25" s="798" t="s">
        <v>934</v>
      </c>
      <c r="F25" s="772">
        <v>3</v>
      </c>
      <c r="G25" s="772">
        <v>10</v>
      </c>
      <c r="H25" s="881"/>
      <c r="I25" s="773">
        <v>9000</v>
      </c>
      <c r="J25" s="768">
        <f>(G25+H25)*I25*F25</f>
        <v>270000</v>
      </c>
      <c r="K25" s="773">
        <v>8000</v>
      </c>
      <c r="L25" s="767">
        <f t="shared" si="12"/>
        <v>240000</v>
      </c>
      <c r="M25" s="769">
        <f>3605*2</f>
        <v>7210</v>
      </c>
      <c r="N25" s="769">
        <f t="shared" si="13"/>
        <v>0</v>
      </c>
      <c r="O25" s="774">
        <v>20000</v>
      </c>
      <c r="P25" s="129">
        <f t="shared" si="14"/>
        <v>0</v>
      </c>
      <c r="Q25" s="774"/>
      <c r="R25" s="769">
        <f>SUM(J25+L25+N25+P25)+Q25</f>
        <v>510000</v>
      </c>
      <c r="S25" s="772"/>
      <c r="T25" s="773"/>
      <c r="U25" s="772"/>
      <c r="V25" s="773"/>
      <c r="W25" s="774"/>
      <c r="X25" s="774"/>
      <c r="Y25" s="774"/>
      <c r="Z25" s="774"/>
      <c r="AA25" s="774"/>
      <c r="AB25" s="774"/>
      <c r="AC25" s="774"/>
      <c r="AD25" s="773"/>
      <c r="AE25" s="773">
        <f t="shared" ref="AE25:AE35" si="15">AD25+R25</f>
        <v>510000</v>
      </c>
    </row>
    <row r="26" spans="1:31" s="756" customFormat="1" ht="211.5">
      <c r="A26" s="796">
        <v>17</v>
      </c>
      <c r="B26" s="126">
        <v>3</v>
      </c>
      <c r="C26" s="799" t="s">
        <v>935</v>
      </c>
      <c r="D26" s="798" t="s">
        <v>936</v>
      </c>
      <c r="E26" s="798" t="s">
        <v>904</v>
      </c>
      <c r="F26" s="772">
        <v>7</v>
      </c>
      <c r="G26" s="772">
        <v>7</v>
      </c>
      <c r="H26" s="881"/>
      <c r="I26" s="773"/>
      <c r="J26" s="773"/>
      <c r="K26" s="773"/>
      <c r="L26" s="773"/>
      <c r="M26" s="773"/>
      <c r="N26" s="773"/>
      <c r="O26" s="774"/>
      <c r="P26" s="774"/>
      <c r="Q26" s="774"/>
      <c r="R26" s="773"/>
      <c r="S26" s="772">
        <v>45000</v>
      </c>
      <c r="T26" s="767">
        <f>S26*F26*(G26+H26)</f>
        <v>2205000</v>
      </c>
      <c r="U26" s="772">
        <v>15000</v>
      </c>
      <c r="V26" s="767">
        <f>U26*F26*(G26+H26)</f>
        <v>735000</v>
      </c>
      <c r="W26" s="761">
        <v>14000</v>
      </c>
      <c r="X26" s="767">
        <f>W26*(G26+H26)</f>
        <v>98000</v>
      </c>
      <c r="Y26" s="774">
        <v>350000</v>
      </c>
      <c r="Z26" s="767">
        <f>Y26*(G26+H26)</f>
        <v>2450000</v>
      </c>
      <c r="AA26" s="774"/>
      <c r="AB26" s="774"/>
      <c r="AC26" s="774">
        <v>100000</v>
      </c>
      <c r="AD26" s="762">
        <f>T26+V26+X26+Z26+AA26+AB26+AC26</f>
        <v>5588000</v>
      </c>
      <c r="AE26" s="773">
        <f t="shared" si="15"/>
        <v>5588000</v>
      </c>
    </row>
    <row r="27" spans="1:31" s="756" customFormat="1" ht="409.5">
      <c r="A27" s="796">
        <v>18</v>
      </c>
      <c r="B27" s="126">
        <v>4</v>
      </c>
      <c r="C27" s="797" t="s">
        <v>929</v>
      </c>
      <c r="D27" s="798" t="s">
        <v>937</v>
      </c>
      <c r="E27" s="798" t="s">
        <v>931</v>
      </c>
      <c r="F27" s="772">
        <v>12</v>
      </c>
      <c r="G27" s="772">
        <v>8</v>
      </c>
      <c r="H27" s="881"/>
      <c r="I27" s="773">
        <v>9000</v>
      </c>
      <c r="J27" s="768">
        <f>(G27+H27)*I27*F27</f>
        <v>864000</v>
      </c>
      <c r="K27" s="773">
        <v>8000</v>
      </c>
      <c r="L27" s="767">
        <f>K27*F27*G27</f>
        <v>768000</v>
      </c>
      <c r="M27" s="769">
        <f>3605*2</f>
        <v>7210</v>
      </c>
      <c r="N27" s="769">
        <f>M27*H27*F27</f>
        <v>0</v>
      </c>
      <c r="O27" s="774">
        <v>10000</v>
      </c>
      <c r="P27" s="129">
        <f>O27*H27*2</f>
        <v>0</v>
      </c>
      <c r="Q27" s="774"/>
      <c r="R27" s="769">
        <f>SUM(J27+L27+N27+P27)+Q27</f>
        <v>1632000</v>
      </c>
      <c r="S27" s="772"/>
      <c r="T27" s="773"/>
      <c r="U27" s="772"/>
      <c r="V27" s="773"/>
      <c r="W27" s="774"/>
      <c r="X27" s="774"/>
      <c r="Y27" s="774"/>
      <c r="Z27" s="774"/>
      <c r="AA27" s="774"/>
      <c r="AB27" s="774"/>
      <c r="AC27" s="774"/>
      <c r="AD27" s="773"/>
      <c r="AE27" s="773">
        <f t="shared" si="15"/>
        <v>1632000</v>
      </c>
    </row>
    <row r="28" spans="1:31" s="756" customFormat="1" ht="211.5">
      <c r="A28" s="796">
        <v>19</v>
      </c>
      <c r="B28" s="126">
        <v>5</v>
      </c>
      <c r="C28" s="799" t="s">
        <v>935</v>
      </c>
      <c r="D28" s="798" t="s">
        <v>937</v>
      </c>
      <c r="E28" s="798" t="s">
        <v>938</v>
      </c>
      <c r="F28" s="772">
        <v>7</v>
      </c>
      <c r="G28" s="772">
        <v>7</v>
      </c>
      <c r="H28" s="881"/>
      <c r="I28" s="773"/>
      <c r="J28" s="773"/>
      <c r="K28" s="773"/>
      <c r="L28" s="773"/>
      <c r="M28" s="773"/>
      <c r="N28" s="773"/>
      <c r="O28" s="774"/>
      <c r="P28" s="774"/>
      <c r="Q28" s="774"/>
      <c r="R28" s="773"/>
      <c r="S28" s="772">
        <v>45000</v>
      </c>
      <c r="T28" s="767">
        <f>S28*F28*(G28+H28)</f>
        <v>2205000</v>
      </c>
      <c r="U28" s="772">
        <v>21500</v>
      </c>
      <c r="V28" s="767">
        <f>U28*F28*(G28+H28)</f>
        <v>1053500</v>
      </c>
      <c r="W28" s="761">
        <v>14000</v>
      </c>
      <c r="X28" s="767">
        <f>W28*(G28+H28)</f>
        <v>98000</v>
      </c>
      <c r="Y28" s="774">
        <v>500000</v>
      </c>
      <c r="Z28" s="767">
        <f>Y28*(G28+H28)</f>
        <v>3500000</v>
      </c>
      <c r="AA28" s="761">
        <f>55000*(G28+H28)</f>
        <v>385000</v>
      </c>
      <c r="AB28" s="774"/>
      <c r="AC28" s="774">
        <v>100000</v>
      </c>
      <c r="AD28" s="762">
        <f>T28+V28+X28+Z28+AA28+AB28+AC28</f>
        <v>7341500</v>
      </c>
      <c r="AE28" s="773">
        <f t="shared" si="15"/>
        <v>7341500</v>
      </c>
    </row>
    <row r="29" spans="1:31" s="756" customFormat="1" ht="409.5">
      <c r="A29" s="796">
        <v>20</v>
      </c>
      <c r="B29" s="126">
        <v>6</v>
      </c>
      <c r="C29" s="799" t="s">
        <v>929</v>
      </c>
      <c r="D29" s="798" t="s">
        <v>919</v>
      </c>
      <c r="E29" s="798" t="s">
        <v>931</v>
      </c>
      <c r="F29" s="772">
        <v>14</v>
      </c>
      <c r="G29" s="772">
        <v>8</v>
      </c>
      <c r="H29" s="881"/>
      <c r="I29" s="773">
        <v>9000</v>
      </c>
      <c r="J29" s="768">
        <f>(G29+H29)*I29*F29</f>
        <v>1008000</v>
      </c>
      <c r="K29" s="773">
        <v>8000</v>
      </c>
      <c r="L29" s="767">
        <f>K29*F29*G29</f>
        <v>896000</v>
      </c>
      <c r="M29" s="769">
        <f>3605*2</f>
        <v>7210</v>
      </c>
      <c r="N29" s="769">
        <f>M29*H29*F29</f>
        <v>0</v>
      </c>
      <c r="O29" s="774">
        <v>10000</v>
      </c>
      <c r="P29" s="129">
        <f>O29*H29*2</f>
        <v>0</v>
      </c>
      <c r="Q29" s="774"/>
      <c r="R29" s="769">
        <f>SUM(J29+L29+N29+P29)+Q29</f>
        <v>1904000</v>
      </c>
      <c r="S29" s="772"/>
      <c r="T29" s="773"/>
      <c r="U29" s="774"/>
      <c r="V29" s="773"/>
      <c r="W29" s="774"/>
      <c r="X29" s="774"/>
      <c r="Y29" s="774"/>
      <c r="Z29" s="774"/>
      <c r="AA29" s="774"/>
      <c r="AB29" s="774"/>
      <c r="AC29" s="774"/>
      <c r="AD29" s="773"/>
      <c r="AE29" s="773">
        <f t="shared" si="15"/>
        <v>1904000</v>
      </c>
    </row>
    <row r="30" spans="1:31" s="756" customFormat="1" ht="211.5">
      <c r="A30" s="796">
        <v>21</v>
      </c>
      <c r="B30" s="126">
        <v>7</v>
      </c>
      <c r="C30" s="799" t="s">
        <v>935</v>
      </c>
      <c r="D30" s="798" t="s">
        <v>919</v>
      </c>
      <c r="E30" s="798" t="s">
        <v>927</v>
      </c>
      <c r="F30" s="772">
        <v>7</v>
      </c>
      <c r="G30" s="772">
        <v>7</v>
      </c>
      <c r="H30" s="881"/>
      <c r="I30" s="773"/>
      <c r="J30" s="773"/>
      <c r="K30" s="773"/>
      <c r="L30" s="773"/>
      <c r="M30" s="773"/>
      <c r="N30" s="773"/>
      <c r="O30" s="774"/>
      <c r="P30" s="774"/>
      <c r="Q30" s="774"/>
      <c r="R30" s="773"/>
      <c r="S30" s="772">
        <v>40000</v>
      </c>
      <c r="T30" s="767">
        <f>S30*F30*(G30+H30)</f>
        <v>1960000</v>
      </c>
      <c r="U30" s="772">
        <v>14638</v>
      </c>
      <c r="V30" s="767">
        <f>U30*F30*(G30+H30)</f>
        <v>717262</v>
      </c>
      <c r="W30" s="761">
        <v>14000</v>
      </c>
      <c r="X30" s="767">
        <f>W30*(G30+H30)</f>
        <v>98000</v>
      </c>
      <c r="Y30" s="774">
        <v>380000</v>
      </c>
      <c r="Z30" s="767">
        <f>Y30*(G30+H30)</f>
        <v>2660000</v>
      </c>
      <c r="AA30" s="761">
        <f>55000*(G30+H30)</f>
        <v>385000</v>
      </c>
      <c r="AB30" s="774"/>
      <c r="AC30" s="774">
        <v>100000</v>
      </c>
      <c r="AD30" s="762">
        <f>T30+V30+X30+Z30+AA30+AB30+AC30</f>
        <v>5920262</v>
      </c>
      <c r="AE30" s="773">
        <f t="shared" si="15"/>
        <v>5920262</v>
      </c>
    </row>
    <row r="31" spans="1:31" s="756" customFormat="1" ht="409.5">
      <c r="A31" s="796">
        <v>22</v>
      </c>
      <c r="B31" s="126">
        <v>8</v>
      </c>
      <c r="C31" s="799" t="s">
        <v>929</v>
      </c>
      <c r="D31" s="798" t="s">
        <v>939</v>
      </c>
      <c r="E31" s="798" t="s">
        <v>931</v>
      </c>
      <c r="F31" s="772">
        <v>18</v>
      </c>
      <c r="G31" s="772">
        <v>8</v>
      </c>
      <c r="H31" s="881"/>
      <c r="I31" s="773">
        <v>9000</v>
      </c>
      <c r="J31" s="768">
        <f>(G31+H31)*I31*F31</f>
        <v>1296000</v>
      </c>
      <c r="K31" s="773">
        <v>8000</v>
      </c>
      <c r="L31" s="767">
        <f>K31*F31*G31</f>
        <v>1152000</v>
      </c>
      <c r="M31" s="769">
        <f>3605*2</f>
        <v>7210</v>
      </c>
      <c r="N31" s="769">
        <f>M31*H31*F31</f>
        <v>0</v>
      </c>
      <c r="O31" s="774">
        <v>10000</v>
      </c>
      <c r="P31" s="129">
        <f>O31*H31*2</f>
        <v>0</v>
      </c>
      <c r="Q31" s="774"/>
      <c r="R31" s="769">
        <f>SUM(J31+L31+N31+P31)+Q31</f>
        <v>2448000</v>
      </c>
      <c r="S31" s="772"/>
      <c r="T31" s="773"/>
      <c r="U31" s="772"/>
      <c r="V31" s="773"/>
      <c r="W31" s="774"/>
      <c r="X31" s="774"/>
      <c r="Y31" s="774"/>
      <c r="Z31" s="774"/>
      <c r="AA31" s="774"/>
      <c r="AB31" s="774"/>
      <c r="AC31" s="774"/>
      <c r="AD31" s="773"/>
      <c r="AE31" s="773">
        <f t="shared" si="15"/>
        <v>2448000</v>
      </c>
    </row>
    <row r="32" spans="1:31" s="756" customFormat="1" ht="352.5">
      <c r="A32" s="796">
        <v>23</v>
      </c>
      <c r="B32" s="126">
        <v>9</v>
      </c>
      <c r="C32" s="799" t="s">
        <v>940</v>
      </c>
      <c r="D32" s="798" t="s">
        <v>941</v>
      </c>
      <c r="E32" s="798" t="s">
        <v>942</v>
      </c>
      <c r="F32" s="772">
        <v>10</v>
      </c>
      <c r="G32" s="772">
        <v>6</v>
      </c>
      <c r="H32" s="881"/>
      <c r="I32" s="773"/>
      <c r="J32" s="773"/>
      <c r="K32" s="773"/>
      <c r="L32" s="773"/>
      <c r="M32" s="773"/>
      <c r="N32" s="773"/>
      <c r="O32" s="774"/>
      <c r="P32" s="774"/>
      <c r="Q32" s="774"/>
      <c r="R32" s="773"/>
      <c r="S32" s="772">
        <v>45000</v>
      </c>
      <c r="T32" s="767">
        <f>S32*F32*(G32+H32)</f>
        <v>2700000</v>
      </c>
      <c r="U32" s="772">
        <v>15000</v>
      </c>
      <c r="V32" s="767">
        <f>U32*F32*(G32+H32)</f>
        <v>900000</v>
      </c>
      <c r="W32" s="761">
        <v>14000</v>
      </c>
      <c r="X32" s="767">
        <f>W32*(G32+H32)</f>
        <v>84000</v>
      </c>
      <c r="Y32" s="774">
        <v>400000</v>
      </c>
      <c r="Z32" s="767">
        <f>Y32*(G32+H32)</f>
        <v>2400000</v>
      </c>
      <c r="AA32" s="774"/>
      <c r="AB32" s="774"/>
      <c r="AC32" s="774">
        <v>100000</v>
      </c>
      <c r="AD32" s="762">
        <f>T32+V32+X32+Z32+AA32+AB32+AC32</f>
        <v>6184000</v>
      </c>
      <c r="AE32" s="773">
        <f t="shared" si="15"/>
        <v>6184000</v>
      </c>
    </row>
    <row r="33" spans="1:31" s="756" customFormat="1" ht="409.5">
      <c r="A33" s="796">
        <v>24</v>
      </c>
      <c r="B33" s="126">
        <v>10</v>
      </c>
      <c r="C33" s="799" t="s">
        <v>943</v>
      </c>
      <c r="D33" s="798" t="s">
        <v>926</v>
      </c>
      <c r="E33" s="798" t="s">
        <v>931</v>
      </c>
      <c r="F33" s="772">
        <v>14</v>
      </c>
      <c r="G33" s="772">
        <v>8</v>
      </c>
      <c r="H33" s="881"/>
      <c r="I33" s="773">
        <v>9000</v>
      </c>
      <c r="J33" s="768">
        <f>(G33+H33)*I33*F33</f>
        <v>1008000</v>
      </c>
      <c r="K33" s="773">
        <v>8000</v>
      </c>
      <c r="L33" s="767">
        <f>K33*F33*G33</f>
        <v>896000</v>
      </c>
      <c r="M33" s="769">
        <f>3605*2</f>
        <v>7210</v>
      </c>
      <c r="N33" s="769">
        <f>M33*H33*F33</f>
        <v>0</v>
      </c>
      <c r="O33" s="774">
        <v>10000</v>
      </c>
      <c r="P33" s="129">
        <f>O33*H33*2</f>
        <v>0</v>
      </c>
      <c r="Q33" s="774"/>
      <c r="R33" s="769">
        <f>SUM(J33+L33+N33+P33)+Q33</f>
        <v>1904000</v>
      </c>
      <c r="S33" s="772"/>
      <c r="T33" s="773"/>
      <c r="U33" s="772"/>
      <c r="V33" s="773"/>
      <c r="W33" s="774"/>
      <c r="X33" s="774"/>
      <c r="Y33" s="774"/>
      <c r="Z33" s="774"/>
      <c r="AA33" s="774"/>
      <c r="AB33" s="774"/>
      <c r="AC33" s="774"/>
      <c r="AD33" s="773"/>
      <c r="AE33" s="773">
        <f t="shared" si="15"/>
        <v>1904000</v>
      </c>
    </row>
    <row r="34" spans="1:31" s="756" customFormat="1" ht="76.5">
      <c r="A34" s="129">
        <v>25</v>
      </c>
      <c r="B34" s="126">
        <v>11</v>
      </c>
      <c r="C34" s="799" t="s">
        <v>944</v>
      </c>
      <c r="D34" s="798" t="s">
        <v>926</v>
      </c>
      <c r="E34" s="798" t="s">
        <v>413</v>
      </c>
      <c r="F34" s="772">
        <v>8</v>
      </c>
      <c r="G34" s="772">
        <v>8</v>
      </c>
      <c r="H34" s="881"/>
      <c r="I34" s="773"/>
      <c r="J34" s="773"/>
      <c r="K34" s="773"/>
      <c r="L34" s="773"/>
      <c r="M34" s="773"/>
      <c r="N34" s="773"/>
      <c r="O34" s="774"/>
      <c r="P34" s="774"/>
      <c r="Q34" s="774"/>
      <c r="R34" s="773"/>
      <c r="S34" s="772">
        <v>45000</v>
      </c>
      <c r="T34" s="767">
        <f t="shared" ref="T34:T35" si="16">S34*F34*(G34+H34)</f>
        <v>2880000</v>
      </c>
      <c r="U34" s="772">
        <v>15000</v>
      </c>
      <c r="V34" s="767">
        <f t="shared" ref="V34:V35" si="17">U34*F34*(G34+H34)</f>
        <v>960000</v>
      </c>
      <c r="W34" s="761">
        <v>14000</v>
      </c>
      <c r="X34" s="767">
        <f t="shared" ref="X34:X35" si="18">W34*(G34+H34)</f>
        <v>112000</v>
      </c>
      <c r="Y34" s="774">
        <v>400000</v>
      </c>
      <c r="Z34" s="767">
        <f t="shared" ref="Z34:Z35" si="19">Y34*(G34+H34)</f>
        <v>3200000</v>
      </c>
      <c r="AA34" s="761">
        <f t="shared" ref="AA34:AA35" si="20">55000*(G34+H34)</f>
        <v>440000</v>
      </c>
      <c r="AB34" s="774"/>
      <c r="AC34" s="774">
        <v>193607</v>
      </c>
      <c r="AD34" s="762">
        <f t="shared" ref="AD34:AD35" si="21">T34+V34+X34+Z34+AA34+AB34+AC34</f>
        <v>7785607</v>
      </c>
      <c r="AE34" s="773">
        <f t="shared" si="15"/>
        <v>7785607</v>
      </c>
    </row>
    <row r="35" spans="1:31" s="756" customFormat="1" ht="76.5">
      <c r="A35" s="129">
        <v>26</v>
      </c>
      <c r="B35" s="126">
        <v>12</v>
      </c>
      <c r="C35" s="799" t="s">
        <v>945</v>
      </c>
      <c r="D35" s="798" t="s">
        <v>946</v>
      </c>
      <c r="E35" s="798" t="s">
        <v>398</v>
      </c>
      <c r="F35" s="772">
        <v>7</v>
      </c>
      <c r="G35" s="772">
        <v>3</v>
      </c>
      <c r="H35" s="881"/>
      <c r="I35" s="773"/>
      <c r="J35" s="773"/>
      <c r="K35" s="773"/>
      <c r="L35" s="773"/>
      <c r="M35" s="773"/>
      <c r="N35" s="773"/>
      <c r="O35" s="774"/>
      <c r="P35" s="774"/>
      <c r="Q35" s="774"/>
      <c r="R35" s="773"/>
      <c r="S35" s="772">
        <v>35000</v>
      </c>
      <c r="T35" s="767">
        <f t="shared" si="16"/>
        <v>735000</v>
      </c>
      <c r="U35" s="772">
        <v>10000</v>
      </c>
      <c r="V35" s="767">
        <f t="shared" si="17"/>
        <v>210000</v>
      </c>
      <c r="W35" s="761">
        <v>14000</v>
      </c>
      <c r="X35" s="767">
        <f t="shared" si="18"/>
        <v>42000</v>
      </c>
      <c r="Y35" s="774">
        <v>350000</v>
      </c>
      <c r="Z35" s="767">
        <f t="shared" si="19"/>
        <v>1050000</v>
      </c>
      <c r="AA35" s="761">
        <f t="shared" si="20"/>
        <v>165000</v>
      </c>
      <c r="AB35" s="774"/>
      <c r="AC35" s="774">
        <v>120000</v>
      </c>
      <c r="AD35" s="762">
        <f t="shared" si="21"/>
        <v>2322000</v>
      </c>
      <c r="AE35" s="773">
        <f t="shared" si="15"/>
        <v>2322000</v>
      </c>
    </row>
    <row r="36" spans="1:31" s="756" customFormat="1" ht="76.5">
      <c r="A36" s="1661" t="s">
        <v>886</v>
      </c>
      <c r="B36" s="1661"/>
      <c r="C36" s="1661"/>
      <c r="D36" s="1661"/>
      <c r="E36" s="1661"/>
      <c r="F36" s="1661"/>
      <c r="G36" s="1661"/>
      <c r="H36" s="1661"/>
      <c r="I36" s="775"/>
      <c r="J36" s="868">
        <f>SUM(J24:J35)</f>
        <v>5346000</v>
      </c>
      <c r="K36" s="868"/>
      <c r="L36" s="868">
        <f>SUM(L24:L35)</f>
        <v>4752000</v>
      </c>
      <c r="M36" s="868"/>
      <c r="N36" s="868">
        <f>SUM(N24:N35)</f>
        <v>0</v>
      </c>
      <c r="O36" s="776"/>
      <c r="P36" s="868">
        <f>SUM(P24:P35)</f>
        <v>0</v>
      </c>
      <c r="Q36" s="776"/>
      <c r="R36" s="868">
        <f>SUM(R24:R35)</f>
        <v>10098000</v>
      </c>
      <c r="S36" s="777"/>
      <c r="T36" s="868">
        <f>SUM(T24:T35)</f>
        <v>12685000</v>
      </c>
      <c r="U36" s="777"/>
      <c r="V36" s="868">
        <f>SUM(V24:V35)</f>
        <v>4575762</v>
      </c>
      <c r="W36" s="776"/>
      <c r="X36" s="868">
        <f>SUM(X24:X35)</f>
        <v>532000</v>
      </c>
      <c r="Y36" s="776"/>
      <c r="Z36" s="868">
        <f t="shared" ref="Z36:AA36" si="22">SUM(Z24:Z35)</f>
        <v>15260000</v>
      </c>
      <c r="AA36" s="868">
        <f t="shared" si="22"/>
        <v>1375000</v>
      </c>
      <c r="AB36" s="776"/>
      <c r="AC36" s="868">
        <f t="shared" ref="AC36:AD36" si="23">SUM(AC24:AC35)</f>
        <v>713607</v>
      </c>
      <c r="AD36" s="868">
        <f t="shared" si="23"/>
        <v>35141369</v>
      </c>
      <c r="AE36" s="868">
        <f>SUM(AE24:AE35)</f>
        <v>45239369</v>
      </c>
    </row>
    <row r="37" spans="1:31" s="756" customFormat="1" ht="76.5">
      <c r="A37" s="1738" t="s">
        <v>947</v>
      </c>
      <c r="B37" s="1738"/>
      <c r="C37" s="1738"/>
      <c r="D37" s="1738"/>
      <c r="E37" s="1738"/>
      <c r="F37" s="1738"/>
      <c r="G37" s="1738"/>
      <c r="H37" s="1738"/>
      <c r="I37" s="1738"/>
      <c r="J37" s="1738"/>
      <c r="K37" s="1738"/>
      <c r="L37" s="1738"/>
      <c r="M37" s="1738"/>
      <c r="N37" s="1738"/>
      <c r="O37" s="1738"/>
      <c r="P37" s="1738"/>
      <c r="Q37" s="1738"/>
      <c r="R37" s="1738"/>
      <c r="S37" s="1738"/>
      <c r="T37" s="1738"/>
      <c r="U37" s="1738"/>
      <c r="V37" s="1738"/>
      <c r="W37" s="1738"/>
      <c r="X37" s="1738"/>
      <c r="Y37" s="1738"/>
      <c r="Z37" s="1738"/>
      <c r="AA37" s="1738"/>
      <c r="AB37" s="1738"/>
      <c r="AC37" s="1738"/>
      <c r="AD37" s="1738"/>
      <c r="AE37" s="1738"/>
    </row>
    <row r="38" spans="1:31" s="756" customFormat="1" ht="409.5">
      <c r="A38" s="796">
        <v>27</v>
      </c>
      <c r="B38" s="126">
        <v>1</v>
      </c>
      <c r="C38" s="799" t="s">
        <v>948</v>
      </c>
      <c r="D38" s="798" t="s">
        <v>949</v>
      </c>
      <c r="E38" s="798" t="s">
        <v>950</v>
      </c>
      <c r="F38" s="772">
        <v>16</v>
      </c>
      <c r="G38" s="772">
        <v>7</v>
      </c>
      <c r="H38" s="881"/>
      <c r="I38" s="773">
        <v>11000</v>
      </c>
      <c r="J38" s="768">
        <f>(G38+H38)*I38*F38</f>
        <v>1232000</v>
      </c>
      <c r="K38" s="773">
        <v>10000</v>
      </c>
      <c r="L38" s="767">
        <f t="shared" ref="L38:L39" si="24">K38*F38*G38</f>
        <v>1120000</v>
      </c>
      <c r="M38" s="769">
        <f>3605*2</f>
        <v>7210</v>
      </c>
      <c r="N38" s="769">
        <f t="shared" ref="N38:N44" si="25">M38*H38*F38</f>
        <v>0</v>
      </c>
      <c r="O38" s="774"/>
      <c r="P38" s="774"/>
      <c r="Q38" s="774">
        <v>185952</v>
      </c>
      <c r="R38" s="769">
        <f>SUM(J38+L38+N38+P38)+Q38</f>
        <v>2537952</v>
      </c>
      <c r="S38" s="772"/>
      <c r="T38" s="773"/>
      <c r="U38" s="772"/>
      <c r="V38" s="773"/>
      <c r="W38" s="774"/>
      <c r="X38" s="774"/>
      <c r="Y38" s="774"/>
      <c r="Z38" s="774"/>
      <c r="AA38" s="774"/>
      <c r="AB38" s="774"/>
      <c r="AC38" s="774"/>
      <c r="AD38" s="773"/>
      <c r="AE38" s="773">
        <f>AD38+R38</f>
        <v>2537952</v>
      </c>
    </row>
    <row r="39" spans="1:31" s="756" customFormat="1" ht="409.5">
      <c r="A39" s="796">
        <v>28</v>
      </c>
      <c r="B39" s="126">
        <v>2</v>
      </c>
      <c r="C39" s="799" t="s">
        <v>951</v>
      </c>
      <c r="D39" s="798" t="s">
        <v>936</v>
      </c>
      <c r="E39" s="798" t="s">
        <v>950</v>
      </c>
      <c r="F39" s="772">
        <v>8</v>
      </c>
      <c r="G39" s="772">
        <v>8</v>
      </c>
      <c r="H39" s="881"/>
      <c r="I39" s="773">
        <v>9000</v>
      </c>
      <c r="J39" s="768">
        <f>(G39+H39)*I39*F39</f>
        <v>576000</v>
      </c>
      <c r="K39" s="773">
        <v>8000</v>
      </c>
      <c r="L39" s="767">
        <f t="shared" si="24"/>
        <v>512000</v>
      </c>
      <c r="M39" s="769">
        <f>3605*2</f>
        <v>7210</v>
      </c>
      <c r="N39" s="769">
        <f t="shared" si="25"/>
        <v>0</v>
      </c>
      <c r="O39" s="774"/>
      <c r="P39" s="774"/>
      <c r="Q39" s="774">
        <v>92000</v>
      </c>
      <c r="R39" s="769">
        <f>SUM(J39+L39+N39+P39)+Q39</f>
        <v>1180000</v>
      </c>
      <c r="S39" s="772"/>
      <c r="T39" s="773"/>
      <c r="U39" s="772"/>
      <c r="V39" s="773"/>
      <c r="W39" s="774"/>
      <c r="X39" s="774"/>
      <c r="Y39" s="774"/>
      <c r="Z39" s="774"/>
      <c r="AA39" s="774"/>
      <c r="AB39" s="774"/>
      <c r="AC39" s="774"/>
      <c r="AD39" s="773"/>
      <c r="AE39" s="773">
        <f t="shared" ref="AE39:AE45" si="26">AD39+R39</f>
        <v>1180000</v>
      </c>
    </row>
    <row r="40" spans="1:31" s="756" customFormat="1" ht="211.5">
      <c r="A40" s="796">
        <v>29</v>
      </c>
      <c r="B40" s="126">
        <v>3</v>
      </c>
      <c r="C40" s="799" t="s">
        <v>935</v>
      </c>
      <c r="D40" s="798" t="s">
        <v>952</v>
      </c>
      <c r="E40" s="798" t="s">
        <v>953</v>
      </c>
      <c r="F40" s="772">
        <v>7</v>
      </c>
      <c r="G40" s="772">
        <v>10</v>
      </c>
      <c r="H40" s="881"/>
      <c r="I40" s="773"/>
      <c r="J40" s="773"/>
      <c r="K40" s="773"/>
      <c r="L40" s="773"/>
      <c r="M40" s="773"/>
      <c r="N40" s="773"/>
      <c r="O40" s="774"/>
      <c r="P40" s="774"/>
      <c r="Q40" s="774"/>
      <c r="R40" s="773"/>
      <c r="S40" s="772">
        <v>43000</v>
      </c>
      <c r="T40" s="125">
        <f t="shared" ref="T40" si="27">S40*F40*(G40+H40)</f>
        <v>3010000</v>
      </c>
      <c r="U40" s="774">
        <v>20000</v>
      </c>
      <c r="V40" s="767">
        <f>U40*F40*(G40+H40)</f>
        <v>1400000</v>
      </c>
      <c r="W40" s="774">
        <v>15000</v>
      </c>
      <c r="X40" s="767">
        <f>W40*(G40+H40)</f>
        <v>150000</v>
      </c>
      <c r="Y40" s="774">
        <v>600000</v>
      </c>
      <c r="Z40" s="767">
        <f>Y40*(G40+H40)</f>
        <v>6000000</v>
      </c>
      <c r="AA40" s="761">
        <f t="shared" ref="AA40" si="28">55000*(G40+H40)</f>
        <v>550000</v>
      </c>
      <c r="AB40" s="774"/>
      <c r="AC40" s="774">
        <f>43207+300000</f>
        <v>343207</v>
      </c>
      <c r="AD40" s="762">
        <f>T40+V40+X40+Z40+AA40+AB40+AC40</f>
        <v>11453207</v>
      </c>
      <c r="AE40" s="773">
        <f t="shared" si="26"/>
        <v>11453207</v>
      </c>
    </row>
    <row r="41" spans="1:31" s="756" customFormat="1" ht="282">
      <c r="A41" s="796">
        <v>30</v>
      </c>
      <c r="B41" s="126">
        <v>4</v>
      </c>
      <c r="C41" s="797" t="s">
        <v>954</v>
      </c>
      <c r="D41" s="798" t="s">
        <v>933</v>
      </c>
      <c r="E41" s="798" t="s">
        <v>934</v>
      </c>
      <c r="F41" s="772">
        <v>3</v>
      </c>
      <c r="G41" s="772">
        <v>12</v>
      </c>
      <c r="H41" s="881"/>
      <c r="I41" s="773">
        <v>9000</v>
      </c>
      <c r="J41" s="768">
        <f>(G41+H41)*I41*F41</f>
        <v>324000</v>
      </c>
      <c r="K41" s="773">
        <v>8000</v>
      </c>
      <c r="L41" s="767">
        <f t="shared" ref="L41:L42" si="29">K41*F41*G41</f>
        <v>288000</v>
      </c>
      <c r="M41" s="769">
        <f>3605*2</f>
        <v>7210</v>
      </c>
      <c r="N41" s="769">
        <f t="shared" si="25"/>
        <v>0</v>
      </c>
      <c r="O41" s="774">
        <v>10000</v>
      </c>
      <c r="P41" s="129">
        <f t="shared" ref="P41:P42" si="30">O41*H41*2</f>
        <v>0</v>
      </c>
      <c r="Q41" s="774"/>
      <c r="R41" s="769">
        <f t="shared" ref="R41:R42" si="31">SUM(J41+L41+N41+P41)+Q41</f>
        <v>612000</v>
      </c>
      <c r="S41" s="772"/>
      <c r="T41" s="773"/>
      <c r="U41" s="772"/>
      <c r="V41" s="773"/>
      <c r="W41" s="774"/>
      <c r="X41" s="774"/>
      <c r="Y41" s="774"/>
      <c r="Z41" s="774"/>
      <c r="AA41" s="774"/>
      <c r="AB41" s="774"/>
      <c r="AC41" s="774"/>
      <c r="AD41" s="773"/>
      <c r="AE41" s="773">
        <f t="shared" si="26"/>
        <v>612000</v>
      </c>
    </row>
    <row r="42" spans="1:31" s="756" customFormat="1" ht="409.5">
      <c r="A42" s="796">
        <v>31</v>
      </c>
      <c r="B42" s="126">
        <v>5</v>
      </c>
      <c r="C42" s="799" t="s">
        <v>955</v>
      </c>
      <c r="D42" s="798" t="s">
        <v>937</v>
      </c>
      <c r="E42" s="798" t="s">
        <v>950</v>
      </c>
      <c r="F42" s="772">
        <v>10</v>
      </c>
      <c r="G42" s="772">
        <v>10</v>
      </c>
      <c r="H42" s="881"/>
      <c r="I42" s="773">
        <v>9000</v>
      </c>
      <c r="J42" s="768">
        <f>(G42+H42)*I42*F42</f>
        <v>900000</v>
      </c>
      <c r="K42" s="773">
        <v>8000</v>
      </c>
      <c r="L42" s="767">
        <f t="shared" si="29"/>
        <v>800000</v>
      </c>
      <c r="M42" s="769">
        <f>3605*2</f>
        <v>7210</v>
      </c>
      <c r="N42" s="769">
        <f t="shared" si="25"/>
        <v>0</v>
      </c>
      <c r="O42" s="774">
        <v>10000</v>
      </c>
      <c r="P42" s="129">
        <f t="shared" si="30"/>
        <v>0</v>
      </c>
      <c r="Q42" s="774"/>
      <c r="R42" s="769">
        <f t="shared" si="31"/>
        <v>1700000</v>
      </c>
      <c r="S42" s="772"/>
      <c r="T42" s="773"/>
      <c r="U42" s="774"/>
      <c r="V42" s="773"/>
      <c r="W42" s="774"/>
      <c r="X42" s="774"/>
      <c r="Y42" s="774"/>
      <c r="Z42" s="774"/>
      <c r="AA42" s="774"/>
      <c r="AB42" s="774"/>
      <c r="AC42" s="774"/>
      <c r="AD42" s="773"/>
      <c r="AE42" s="773">
        <f t="shared" si="26"/>
        <v>1700000</v>
      </c>
    </row>
    <row r="43" spans="1:31" s="756" customFormat="1" ht="211.5">
      <c r="A43" s="796">
        <v>32</v>
      </c>
      <c r="B43" s="126">
        <v>6</v>
      </c>
      <c r="C43" s="799" t="s">
        <v>935</v>
      </c>
      <c r="D43" s="798" t="s">
        <v>918</v>
      </c>
      <c r="E43" s="798" t="s">
        <v>353</v>
      </c>
      <c r="F43" s="772">
        <v>7</v>
      </c>
      <c r="G43" s="772">
        <v>10</v>
      </c>
      <c r="H43" s="881"/>
      <c r="I43" s="773"/>
      <c r="J43" s="773"/>
      <c r="K43" s="773"/>
      <c r="L43" s="773"/>
      <c r="M43" s="773"/>
      <c r="N43" s="773"/>
      <c r="O43" s="774"/>
      <c r="P43" s="774"/>
      <c r="Q43" s="774"/>
      <c r="R43" s="773"/>
      <c r="S43" s="772">
        <v>43000</v>
      </c>
      <c r="T43" s="767">
        <f t="shared" ref="T43:T45" si="32">S43*F43*(G43+H43)</f>
        <v>3010000</v>
      </c>
      <c r="U43" s="774">
        <v>20000</v>
      </c>
      <c r="V43" s="767">
        <f>U43*F43*(G43+H43)</f>
        <v>1400000</v>
      </c>
      <c r="W43" s="774">
        <v>15000</v>
      </c>
      <c r="X43" s="767">
        <f>W43*(G43+H43)</f>
        <v>150000</v>
      </c>
      <c r="Y43" s="774">
        <v>600000</v>
      </c>
      <c r="Z43" s="767">
        <f>Y43*(G43+H43)</f>
        <v>6000000</v>
      </c>
      <c r="AA43" s="761">
        <f t="shared" ref="AA43:AA45" si="33">55000*(G43+H43)</f>
        <v>550000</v>
      </c>
      <c r="AB43" s="774"/>
      <c r="AC43" s="774">
        <v>336207</v>
      </c>
      <c r="AD43" s="762">
        <f>T43+V43+X43+Z43+AA43+AB43+AC43</f>
        <v>11446207</v>
      </c>
      <c r="AE43" s="773">
        <f t="shared" si="26"/>
        <v>11446207</v>
      </c>
    </row>
    <row r="44" spans="1:31" s="756" customFormat="1" ht="409.5">
      <c r="A44" s="796">
        <v>33</v>
      </c>
      <c r="B44" s="126">
        <v>7</v>
      </c>
      <c r="C44" s="799" t="s">
        <v>948</v>
      </c>
      <c r="D44" s="798" t="s">
        <v>919</v>
      </c>
      <c r="E44" s="798" t="s">
        <v>950</v>
      </c>
      <c r="F44" s="772">
        <v>10</v>
      </c>
      <c r="G44" s="772">
        <v>10</v>
      </c>
      <c r="H44" s="881"/>
      <c r="I44" s="773">
        <v>9000</v>
      </c>
      <c r="J44" s="768">
        <f>(G44+H44)*I44*F44</f>
        <v>900000</v>
      </c>
      <c r="K44" s="773">
        <v>8000</v>
      </c>
      <c r="L44" s="767">
        <f>K44*F44*G44</f>
        <v>800000</v>
      </c>
      <c r="M44" s="769">
        <f>3605*2</f>
        <v>7210</v>
      </c>
      <c r="N44" s="769">
        <f t="shared" si="25"/>
        <v>0</v>
      </c>
      <c r="O44" s="774">
        <v>10000</v>
      </c>
      <c r="P44" s="129">
        <f>O44*H44*2</f>
        <v>0</v>
      </c>
      <c r="Q44" s="774"/>
      <c r="R44" s="769">
        <f>SUM(J44+L44+N44+P44)+Q44</f>
        <v>1700000</v>
      </c>
      <c r="S44" s="772"/>
      <c r="T44" s="773"/>
      <c r="U44" s="774"/>
      <c r="V44" s="773"/>
      <c r="W44" s="774"/>
      <c r="X44" s="774"/>
      <c r="Y44" s="774"/>
      <c r="Z44" s="774"/>
      <c r="AA44" s="774"/>
      <c r="AB44" s="774"/>
      <c r="AC44" s="774"/>
      <c r="AD44" s="773"/>
      <c r="AE44" s="773">
        <f t="shared" si="26"/>
        <v>1700000</v>
      </c>
    </row>
    <row r="45" spans="1:31" s="756" customFormat="1" ht="76.5">
      <c r="A45" s="796">
        <v>34</v>
      </c>
      <c r="B45" s="126">
        <v>8</v>
      </c>
      <c r="C45" s="799" t="s">
        <v>944</v>
      </c>
      <c r="D45" s="798" t="s">
        <v>946</v>
      </c>
      <c r="E45" s="798" t="s">
        <v>953</v>
      </c>
      <c r="F45" s="772">
        <v>7</v>
      </c>
      <c r="G45" s="772">
        <v>10</v>
      </c>
      <c r="H45" s="881"/>
      <c r="I45" s="773"/>
      <c r="J45" s="773"/>
      <c r="K45" s="773"/>
      <c r="L45" s="773"/>
      <c r="M45" s="773"/>
      <c r="N45" s="773"/>
      <c r="O45" s="774"/>
      <c r="P45" s="774"/>
      <c r="Q45" s="774"/>
      <c r="R45" s="773"/>
      <c r="S45" s="772">
        <v>43000</v>
      </c>
      <c r="T45" s="767">
        <f t="shared" si="32"/>
        <v>3010000</v>
      </c>
      <c r="U45" s="774">
        <v>20000</v>
      </c>
      <c r="V45" s="767">
        <f>U45*F45*(G45+H45)</f>
        <v>1400000</v>
      </c>
      <c r="W45" s="774">
        <v>15000</v>
      </c>
      <c r="X45" s="767">
        <f>W45*(G45+H45)</f>
        <v>150000</v>
      </c>
      <c r="Y45" s="774">
        <v>600000</v>
      </c>
      <c r="Z45" s="767">
        <f>Y45*(G45+H45)</f>
        <v>6000000</v>
      </c>
      <c r="AA45" s="761">
        <f t="shared" si="33"/>
        <v>550000</v>
      </c>
      <c r="AB45" s="774"/>
      <c r="AC45" s="774">
        <v>344255</v>
      </c>
      <c r="AD45" s="762">
        <f>T45+V45+X45+Z45+AA45+AB45+AC45</f>
        <v>11454255</v>
      </c>
      <c r="AE45" s="773">
        <f t="shared" si="26"/>
        <v>11454255</v>
      </c>
    </row>
    <row r="46" spans="1:31" s="756" customFormat="1" ht="76.5" customHeight="1">
      <c r="A46" s="1743" t="s">
        <v>886</v>
      </c>
      <c r="B46" s="1743"/>
      <c r="C46" s="1743"/>
      <c r="D46" s="1743"/>
      <c r="E46" s="1743"/>
      <c r="F46" s="1743"/>
      <c r="G46" s="1743"/>
      <c r="H46" s="1743"/>
      <c r="I46" s="870"/>
      <c r="J46" s="870">
        <f>SUM(J38:J45)</f>
        <v>3932000</v>
      </c>
      <c r="K46" s="870"/>
      <c r="L46" s="870">
        <f>SUM(L38:L45)</f>
        <v>3520000</v>
      </c>
      <c r="M46" s="870"/>
      <c r="N46" s="870">
        <f>SUM(N38:N45)</f>
        <v>0</v>
      </c>
      <c r="O46" s="869"/>
      <c r="P46" s="870">
        <f>SUM(P38:P45)</f>
        <v>0</v>
      </c>
      <c r="Q46" s="870">
        <f t="shared" ref="Q46:R46" si="34">SUM(Q38:Q45)</f>
        <v>277952</v>
      </c>
      <c r="R46" s="870">
        <f t="shared" si="34"/>
        <v>7729952</v>
      </c>
      <c r="S46" s="869"/>
      <c r="T46" s="870">
        <f>SUM(T38:T45)</f>
        <v>9030000</v>
      </c>
      <c r="U46" s="869"/>
      <c r="V46" s="870">
        <f>SUM(V38:V45)</f>
        <v>4200000</v>
      </c>
      <c r="W46" s="869"/>
      <c r="X46" s="870">
        <f>SUM(X38:X45)</f>
        <v>450000</v>
      </c>
      <c r="Y46" s="869"/>
      <c r="Z46" s="870">
        <f t="shared" ref="Z46:AA46" si="35">SUM(Z38:Z45)</f>
        <v>18000000</v>
      </c>
      <c r="AA46" s="870">
        <f t="shared" si="35"/>
        <v>1650000</v>
      </c>
      <c r="AB46" s="870"/>
      <c r="AC46" s="870">
        <f t="shared" ref="AC46:AD46" si="36">SUM(AC38:AC45)</f>
        <v>1023669</v>
      </c>
      <c r="AD46" s="870">
        <f t="shared" si="36"/>
        <v>34353669</v>
      </c>
      <c r="AE46" s="870">
        <f>SUM(AE38:AE45)</f>
        <v>42083621</v>
      </c>
    </row>
    <row r="47" spans="1:31" s="756" customFormat="1" ht="76.5">
      <c r="A47" s="1736" t="s">
        <v>956</v>
      </c>
      <c r="B47" s="1736"/>
      <c r="C47" s="1736"/>
      <c r="D47" s="1736"/>
      <c r="E47" s="1736"/>
      <c r="F47" s="1736"/>
      <c r="G47" s="1736"/>
      <c r="H47" s="1736"/>
      <c r="I47" s="1736"/>
      <c r="J47" s="1736"/>
      <c r="K47" s="1736"/>
      <c r="L47" s="1736"/>
      <c r="M47" s="1736"/>
      <c r="N47" s="1736"/>
      <c r="O47" s="1736"/>
      <c r="P47" s="1736"/>
      <c r="Q47" s="1736"/>
      <c r="R47" s="1736"/>
      <c r="S47" s="1736"/>
      <c r="T47" s="1736"/>
      <c r="U47" s="1736"/>
      <c r="V47" s="1736"/>
      <c r="W47" s="1736"/>
      <c r="X47" s="1736"/>
      <c r="Y47" s="1736"/>
      <c r="Z47" s="1736"/>
      <c r="AA47" s="1736"/>
      <c r="AB47" s="1736"/>
      <c r="AC47" s="1736"/>
      <c r="AD47" s="1736"/>
      <c r="AE47" s="1736"/>
    </row>
    <row r="48" spans="1:31" s="756" customFormat="1" ht="141">
      <c r="A48" s="773">
        <v>35</v>
      </c>
      <c r="B48" s="800">
        <v>1</v>
      </c>
      <c r="C48" s="801" t="s">
        <v>957</v>
      </c>
      <c r="D48" s="798" t="s">
        <v>958</v>
      </c>
      <c r="E48" s="798" t="s">
        <v>959</v>
      </c>
      <c r="F48" s="772">
        <v>5</v>
      </c>
      <c r="G48" s="772">
        <v>7</v>
      </c>
      <c r="H48" s="881"/>
      <c r="I48" s="773"/>
      <c r="J48" s="773"/>
      <c r="K48" s="773"/>
      <c r="L48" s="773"/>
      <c r="M48" s="773"/>
      <c r="N48" s="773"/>
      <c r="O48" s="774"/>
      <c r="P48" s="774"/>
      <c r="Q48" s="774"/>
      <c r="R48" s="773"/>
      <c r="S48" s="773">
        <v>48000</v>
      </c>
      <c r="T48" s="767">
        <f t="shared" ref="T48:T51" si="37">S48*F48*(G48+H48)</f>
        <v>1680000</v>
      </c>
      <c r="U48" s="772">
        <v>25000</v>
      </c>
      <c r="V48" s="767">
        <f t="shared" ref="V48:V51" si="38">U48*F48*(G48+H48)</f>
        <v>875000</v>
      </c>
      <c r="W48" s="774">
        <v>20000</v>
      </c>
      <c r="X48" s="767">
        <f>W48*(G48+H48)</f>
        <v>140000</v>
      </c>
      <c r="Y48" s="774">
        <v>600000</v>
      </c>
      <c r="Z48" s="767">
        <f>Y48*(G48+H48)</f>
        <v>4200000</v>
      </c>
      <c r="AA48" s="774"/>
      <c r="AB48" s="774"/>
      <c r="AC48" s="774">
        <v>349000</v>
      </c>
      <c r="AD48" s="762">
        <f t="shared" ref="AD48:AD51" si="39">T48+V48+X48+Z48+AA48+AB48+AC48</f>
        <v>7244000</v>
      </c>
      <c r="AE48" s="773">
        <f t="shared" ref="AE48:AE54" si="40">AD48+R48</f>
        <v>7244000</v>
      </c>
    </row>
    <row r="49" spans="1:31" s="756" customFormat="1" ht="141">
      <c r="A49" s="773">
        <v>36</v>
      </c>
      <c r="B49" s="800">
        <v>2</v>
      </c>
      <c r="C49" s="801" t="s">
        <v>960</v>
      </c>
      <c r="D49" s="798" t="s">
        <v>958</v>
      </c>
      <c r="E49" s="798" t="s">
        <v>961</v>
      </c>
      <c r="F49" s="772">
        <v>5</v>
      </c>
      <c r="G49" s="772">
        <v>7</v>
      </c>
      <c r="H49" s="881"/>
      <c r="I49" s="773"/>
      <c r="J49" s="773"/>
      <c r="K49" s="773"/>
      <c r="L49" s="773"/>
      <c r="M49" s="773"/>
      <c r="N49" s="773"/>
      <c r="O49" s="774"/>
      <c r="P49" s="774"/>
      <c r="Q49" s="774"/>
      <c r="R49" s="773"/>
      <c r="S49" s="773">
        <v>48000</v>
      </c>
      <c r="T49" s="767">
        <f t="shared" si="37"/>
        <v>1680000</v>
      </c>
      <c r="U49" s="772">
        <v>25000</v>
      </c>
      <c r="V49" s="767">
        <f t="shared" si="38"/>
        <v>875000</v>
      </c>
      <c r="W49" s="774"/>
      <c r="X49" s="774"/>
      <c r="Y49" s="774"/>
      <c r="Z49" s="774"/>
      <c r="AA49" s="774"/>
      <c r="AB49" s="774"/>
      <c r="AC49" s="774">
        <v>349000</v>
      </c>
      <c r="AD49" s="762">
        <f t="shared" si="39"/>
        <v>2904000</v>
      </c>
      <c r="AE49" s="773">
        <f t="shared" si="40"/>
        <v>2904000</v>
      </c>
    </row>
    <row r="50" spans="1:31" s="756" customFormat="1" ht="352.5">
      <c r="A50" s="773">
        <v>37</v>
      </c>
      <c r="B50" s="800">
        <v>3</v>
      </c>
      <c r="C50" s="801" t="s">
        <v>962</v>
      </c>
      <c r="D50" s="798" t="s">
        <v>936</v>
      </c>
      <c r="E50" s="798" t="s">
        <v>963</v>
      </c>
      <c r="F50" s="772">
        <v>12</v>
      </c>
      <c r="G50" s="772">
        <v>7</v>
      </c>
      <c r="H50" s="881"/>
      <c r="I50" s="773"/>
      <c r="J50" s="773"/>
      <c r="K50" s="773"/>
      <c r="L50" s="773"/>
      <c r="M50" s="773"/>
      <c r="N50" s="773"/>
      <c r="O50" s="774"/>
      <c r="P50" s="774"/>
      <c r="Q50" s="774"/>
      <c r="R50" s="773"/>
      <c r="S50" s="773">
        <v>48000</v>
      </c>
      <c r="T50" s="767">
        <f t="shared" si="37"/>
        <v>4032000</v>
      </c>
      <c r="U50" s="772">
        <v>25000</v>
      </c>
      <c r="V50" s="767">
        <f t="shared" si="38"/>
        <v>2100000</v>
      </c>
      <c r="W50" s="774">
        <v>15000</v>
      </c>
      <c r="X50" s="767">
        <f>W50*(G50+H50)</f>
        <v>105000</v>
      </c>
      <c r="Y50" s="774">
        <v>600000</v>
      </c>
      <c r="Z50" s="767">
        <f t="shared" ref="Z50:Z51" si="41">Y50*(G50+H50)</f>
        <v>4200000</v>
      </c>
      <c r="AA50" s="761">
        <f t="shared" ref="AA50:AA51" si="42">55000*(G50+H50)</f>
        <v>385000</v>
      </c>
      <c r="AB50" s="774"/>
      <c r="AC50" s="774"/>
      <c r="AD50" s="762">
        <f t="shared" si="39"/>
        <v>10822000</v>
      </c>
      <c r="AE50" s="773">
        <f t="shared" si="40"/>
        <v>10822000</v>
      </c>
    </row>
    <row r="51" spans="1:31" s="756" customFormat="1" ht="141">
      <c r="A51" s="773">
        <v>38</v>
      </c>
      <c r="B51" s="800">
        <v>4</v>
      </c>
      <c r="C51" s="801" t="s">
        <v>964</v>
      </c>
      <c r="D51" s="798" t="s">
        <v>937</v>
      </c>
      <c r="E51" s="798" t="s">
        <v>965</v>
      </c>
      <c r="F51" s="772">
        <v>5</v>
      </c>
      <c r="G51" s="772">
        <v>5</v>
      </c>
      <c r="H51" s="881"/>
      <c r="I51" s="773"/>
      <c r="J51" s="773"/>
      <c r="K51" s="773"/>
      <c r="L51" s="773"/>
      <c r="M51" s="773"/>
      <c r="N51" s="773"/>
      <c r="O51" s="774"/>
      <c r="P51" s="774"/>
      <c r="Q51" s="774"/>
      <c r="R51" s="773"/>
      <c r="S51" s="773">
        <v>46000</v>
      </c>
      <c r="T51" s="767">
        <f t="shared" si="37"/>
        <v>1150000</v>
      </c>
      <c r="U51" s="772">
        <v>25000</v>
      </c>
      <c r="V51" s="767">
        <f t="shared" si="38"/>
        <v>625000</v>
      </c>
      <c r="W51" s="774">
        <v>20000</v>
      </c>
      <c r="X51" s="767">
        <f>W51*(G51+H51)</f>
        <v>100000</v>
      </c>
      <c r="Y51" s="774">
        <v>400000</v>
      </c>
      <c r="Z51" s="767">
        <f t="shared" si="41"/>
        <v>2000000</v>
      </c>
      <c r="AA51" s="761">
        <f t="shared" si="42"/>
        <v>275000</v>
      </c>
      <c r="AB51" s="774"/>
      <c r="AC51" s="774">
        <v>227506</v>
      </c>
      <c r="AD51" s="762">
        <f t="shared" si="39"/>
        <v>4377506</v>
      </c>
      <c r="AE51" s="773">
        <f t="shared" si="40"/>
        <v>4377506</v>
      </c>
    </row>
    <row r="52" spans="1:31" s="756" customFormat="1" ht="409.6" customHeight="1">
      <c r="A52" s="773">
        <v>39</v>
      </c>
      <c r="B52" s="802">
        <v>5</v>
      </c>
      <c r="C52" s="799" t="s">
        <v>966</v>
      </c>
      <c r="D52" s="798" t="s">
        <v>941</v>
      </c>
      <c r="E52" s="798" t="s">
        <v>967</v>
      </c>
      <c r="F52" s="772">
        <v>14</v>
      </c>
      <c r="G52" s="772">
        <v>10</v>
      </c>
      <c r="H52" s="881"/>
      <c r="I52" s="773">
        <v>7050</v>
      </c>
      <c r="J52" s="768">
        <f t="shared" ref="J52:J53" si="43">(G52+H52)*I52*F52</f>
        <v>987000</v>
      </c>
      <c r="K52" s="773">
        <v>7985</v>
      </c>
      <c r="L52" s="767">
        <f t="shared" ref="L52:L53" si="44">K52*F52*G52</f>
        <v>1117900</v>
      </c>
      <c r="M52" s="769">
        <f>3605*2</f>
        <v>7210</v>
      </c>
      <c r="N52" s="769">
        <f t="shared" ref="N52:N53" si="45">M52*H52*F52</f>
        <v>0</v>
      </c>
      <c r="O52" s="774">
        <v>10000</v>
      </c>
      <c r="P52" s="129">
        <f t="shared" ref="P52:P53" si="46">O52*H52*2</f>
        <v>0</v>
      </c>
      <c r="Q52" s="774"/>
      <c r="R52" s="769">
        <f t="shared" ref="R52:R53" si="47">SUM(J52+L52+N52+P52)+Q52</f>
        <v>2104900</v>
      </c>
      <c r="S52" s="773"/>
      <c r="T52" s="773"/>
      <c r="U52" s="772"/>
      <c r="V52" s="773"/>
      <c r="W52" s="774"/>
      <c r="X52" s="774"/>
      <c r="Y52" s="774"/>
      <c r="Z52" s="774"/>
      <c r="AA52" s="774"/>
      <c r="AB52" s="774"/>
      <c r="AC52" s="774"/>
      <c r="AD52" s="773"/>
      <c r="AE52" s="773">
        <f t="shared" si="40"/>
        <v>2104900</v>
      </c>
    </row>
    <row r="53" spans="1:31" s="756" customFormat="1" ht="409.6" customHeight="1">
      <c r="A53" s="773">
        <v>40</v>
      </c>
      <c r="B53" s="800">
        <v>6</v>
      </c>
      <c r="C53" s="799" t="s">
        <v>968</v>
      </c>
      <c r="D53" s="798" t="s">
        <v>941</v>
      </c>
      <c r="E53" s="798" t="s">
        <v>967</v>
      </c>
      <c r="F53" s="772">
        <v>14</v>
      </c>
      <c r="G53" s="772">
        <v>10</v>
      </c>
      <c r="H53" s="881"/>
      <c r="I53" s="773">
        <v>7050</v>
      </c>
      <c r="J53" s="768">
        <f t="shared" si="43"/>
        <v>987000</v>
      </c>
      <c r="K53" s="773">
        <v>7985</v>
      </c>
      <c r="L53" s="767">
        <f t="shared" si="44"/>
        <v>1117900</v>
      </c>
      <c r="M53" s="769">
        <f>3605*2</f>
        <v>7210</v>
      </c>
      <c r="N53" s="769">
        <f t="shared" si="45"/>
        <v>0</v>
      </c>
      <c r="O53" s="774">
        <v>10000</v>
      </c>
      <c r="P53" s="129">
        <f t="shared" si="46"/>
        <v>0</v>
      </c>
      <c r="Q53" s="774"/>
      <c r="R53" s="769">
        <f t="shared" si="47"/>
        <v>2104900</v>
      </c>
      <c r="S53" s="773"/>
      <c r="T53" s="773"/>
      <c r="U53" s="772"/>
      <c r="V53" s="773"/>
      <c r="W53" s="774"/>
      <c r="X53" s="774"/>
      <c r="Y53" s="774"/>
      <c r="Z53" s="774"/>
      <c r="AA53" s="774"/>
      <c r="AB53" s="774"/>
      <c r="AC53" s="774"/>
      <c r="AD53" s="773"/>
      <c r="AE53" s="773">
        <f t="shared" si="40"/>
        <v>2104900</v>
      </c>
    </row>
    <row r="54" spans="1:31" s="756" customFormat="1" ht="141">
      <c r="A54" s="773">
        <v>41</v>
      </c>
      <c r="B54" s="802">
        <v>7</v>
      </c>
      <c r="C54" s="804" t="s">
        <v>909</v>
      </c>
      <c r="D54" s="761" t="s">
        <v>969</v>
      </c>
      <c r="E54" s="761" t="s">
        <v>970</v>
      </c>
      <c r="F54" s="779">
        <v>6</v>
      </c>
      <c r="G54" s="779">
        <v>10</v>
      </c>
      <c r="H54" s="881"/>
      <c r="I54" s="762"/>
      <c r="J54" s="762"/>
      <c r="K54" s="762"/>
      <c r="L54" s="762"/>
      <c r="M54" s="762"/>
      <c r="N54" s="762"/>
      <c r="O54" s="778"/>
      <c r="P54" s="778"/>
      <c r="Q54" s="778"/>
      <c r="R54" s="762"/>
      <c r="S54" s="762">
        <v>46830</v>
      </c>
      <c r="T54" s="767">
        <f t="shared" ref="T54" si="48">S54*F54*(G54+H54)</f>
        <v>2809800</v>
      </c>
      <c r="U54" s="779">
        <v>37464</v>
      </c>
      <c r="V54" s="767">
        <f>U54*F54*(G54+H54)</f>
        <v>2247840</v>
      </c>
      <c r="W54" s="778">
        <v>20000</v>
      </c>
      <c r="X54" s="767">
        <f>W54*(G54+H54)</f>
        <v>200000</v>
      </c>
      <c r="Y54" s="778">
        <v>811000</v>
      </c>
      <c r="Z54" s="767">
        <f>Y54*(G54+H54)</f>
        <v>8110000</v>
      </c>
      <c r="AA54" s="761">
        <f t="shared" ref="AA54" si="49">55000*(G54+H54)</f>
        <v>550000</v>
      </c>
      <c r="AB54" s="778"/>
      <c r="AC54" s="778">
        <v>392000</v>
      </c>
      <c r="AD54" s="762">
        <f>T54+V54+X54+Z54+AA54+AB54+AC54</f>
        <v>14309640</v>
      </c>
      <c r="AE54" s="773">
        <f t="shared" si="40"/>
        <v>14309640</v>
      </c>
    </row>
    <row r="55" spans="1:31" s="756" customFormat="1" ht="75.75" customHeight="1">
      <c r="A55" s="1737" t="s">
        <v>886</v>
      </c>
      <c r="B55" s="1737"/>
      <c r="C55" s="1737"/>
      <c r="D55" s="1737"/>
      <c r="E55" s="1737"/>
      <c r="F55" s="1737"/>
      <c r="G55" s="1737"/>
      <c r="H55" s="1737"/>
      <c r="I55" s="870"/>
      <c r="J55" s="870">
        <f>SUM(J48:J54)</f>
        <v>1974000</v>
      </c>
      <c r="K55" s="870"/>
      <c r="L55" s="870">
        <f>SUM(L48:L54)</f>
        <v>2235800</v>
      </c>
      <c r="M55" s="870"/>
      <c r="N55" s="870">
        <f>SUM(N48:N54)</f>
        <v>0</v>
      </c>
      <c r="O55" s="869"/>
      <c r="P55" s="870">
        <f>SUM(P48:P54)</f>
        <v>0</v>
      </c>
      <c r="Q55" s="869"/>
      <c r="R55" s="870">
        <f>SUM(R48:R54)</f>
        <v>4209800</v>
      </c>
      <c r="S55" s="869"/>
      <c r="T55" s="870">
        <f>SUM(T48:T54)</f>
        <v>11351800</v>
      </c>
      <c r="U55" s="869"/>
      <c r="V55" s="870">
        <f>SUM(V48:V54)</f>
        <v>6722840</v>
      </c>
      <c r="W55" s="869"/>
      <c r="X55" s="870">
        <f>SUM(X48:X54)</f>
        <v>545000</v>
      </c>
      <c r="Y55" s="869"/>
      <c r="Z55" s="870">
        <f>SUM(Z48:Z54)</f>
        <v>18510000</v>
      </c>
      <c r="AA55" s="870">
        <f>SUM(AA48:AA54)</f>
        <v>1210000</v>
      </c>
      <c r="AB55" s="870"/>
      <c r="AC55" s="870">
        <f t="shared" ref="AC55:AE55" si="50">SUM(AC48:AC54)</f>
        <v>1317506</v>
      </c>
      <c r="AD55" s="870">
        <f t="shared" si="50"/>
        <v>39657146</v>
      </c>
      <c r="AE55" s="870">
        <f t="shared" si="50"/>
        <v>43866946</v>
      </c>
    </row>
    <row r="56" spans="1:31" s="756" customFormat="1" ht="76.5">
      <c r="A56" s="1736" t="s">
        <v>971</v>
      </c>
      <c r="B56" s="1736"/>
      <c r="C56" s="1736"/>
      <c r="D56" s="1736"/>
      <c r="E56" s="1736"/>
      <c r="F56" s="1736"/>
      <c r="G56" s="1736"/>
      <c r="H56" s="1736"/>
      <c r="I56" s="1736"/>
      <c r="J56" s="1736"/>
      <c r="K56" s="1736"/>
      <c r="L56" s="1736"/>
      <c r="M56" s="1736"/>
      <c r="N56" s="1736"/>
      <c r="O56" s="1736"/>
      <c r="P56" s="1736"/>
      <c r="Q56" s="1736"/>
      <c r="R56" s="1736"/>
      <c r="S56" s="1736"/>
      <c r="T56" s="1736"/>
      <c r="U56" s="1736"/>
      <c r="V56" s="1736"/>
      <c r="W56" s="1736"/>
      <c r="X56" s="1736"/>
      <c r="Y56" s="1736"/>
      <c r="Z56" s="1736"/>
      <c r="AA56" s="1736"/>
      <c r="AB56" s="1736"/>
      <c r="AC56" s="1736"/>
      <c r="AD56" s="1736"/>
      <c r="AE56" s="1736"/>
    </row>
    <row r="57" spans="1:31" s="756" customFormat="1" ht="141">
      <c r="A57" s="129">
        <v>42</v>
      </c>
      <c r="B57" s="126">
        <v>1</v>
      </c>
      <c r="C57" s="803" t="s">
        <v>972</v>
      </c>
      <c r="D57" s="773" t="s">
        <v>973</v>
      </c>
      <c r="E57" s="773" t="s">
        <v>974</v>
      </c>
      <c r="F57" s="772">
        <v>5</v>
      </c>
      <c r="G57" s="772">
        <v>8</v>
      </c>
      <c r="H57" s="881"/>
      <c r="I57" s="773"/>
      <c r="J57" s="773"/>
      <c r="K57" s="773"/>
      <c r="L57" s="773"/>
      <c r="M57" s="773"/>
      <c r="N57" s="773"/>
      <c r="O57" s="774"/>
      <c r="P57" s="774"/>
      <c r="Q57" s="774"/>
      <c r="R57" s="773"/>
      <c r="S57" s="773">
        <v>30000</v>
      </c>
      <c r="T57" s="767">
        <f t="shared" ref="T57:T59" si="51">S57*F57*(G57+H57)</f>
        <v>1200000</v>
      </c>
      <c r="U57" s="772">
        <v>28000</v>
      </c>
      <c r="V57" s="767">
        <f t="shared" ref="V57:V59" si="52">U57*F57*(G57+H57)</f>
        <v>1120000</v>
      </c>
      <c r="W57" s="774">
        <v>15000</v>
      </c>
      <c r="X57" s="767">
        <f t="shared" ref="X57:X59" si="53">W57*(G57+H57)</f>
        <v>120000</v>
      </c>
      <c r="Y57" s="774">
        <v>520000</v>
      </c>
      <c r="Z57" s="767">
        <f t="shared" ref="Z57:Z59" si="54">Y57*(G57+H57)</f>
        <v>4160000</v>
      </c>
      <c r="AA57" s="774"/>
      <c r="AB57" s="774"/>
      <c r="AC57" s="774">
        <v>273000</v>
      </c>
      <c r="AD57" s="762">
        <f>T57+V57+X57+Z57+AA57+AB57+AC57</f>
        <v>6873000</v>
      </c>
      <c r="AE57" s="762">
        <f>AD57+R57</f>
        <v>6873000</v>
      </c>
    </row>
    <row r="58" spans="1:31" s="756" customFormat="1" ht="141">
      <c r="A58" s="773">
        <v>43</v>
      </c>
      <c r="B58" s="802">
        <v>2</v>
      </c>
      <c r="C58" s="804" t="s">
        <v>975</v>
      </c>
      <c r="D58" s="761" t="s">
        <v>926</v>
      </c>
      <c r="E58" s="761" t="s">
        <v>976</v>
      </c>
      <c r="F58" s="779">
        <v>8</v>
      </c>
      <c r="G58" s="779">
        <v>8</v>
      </c>
      <c r="H58" s="881"/>
      <c r="I58" s="762"/>
      <c r="J58" s="762"/>
      <c r="K58" s="762"/>
      <c r="L58" s="762"/>
      <c r="M58" s="762"/>
      <c r="N58" s="762"/>
      <c r="O58" s="778"/>
      <c r="P58" s="778"/>
      <c r="Q58" s="778"/>
      <c r="R58" s="762"/>
      <c r="S58" s="762">
        <v>48000</v>
      </c>
      <c r="T58" s="767">
        <f t="shared" si="51"/>
        <v>3072000</v>
      </c>
      <c r="U58" s="779">
        <v>23415</v>
      </c>
      <c r="V58" s="767">
        <f t="shared" si="52"/>
        <v>1498560</v>
      </c>
      <c r="W58" s="778">
        <v>20000</v>
      </c>
      <c r="X58" s="767">
        <f t="shared" si="53"/>
        <v>160000</v>
      </c>
      <c r="Y58" s="778">
        <v>835000</v>
      </c>
      <c r="Z58" s="767">
        <f t="shared" si="54"/>
        <v>6680000</v>
      </c>
      <c r="AA58" s="761">
        <f t="shared" ref="AA58:AA59" si="55">55000*(G58+H58)</f>
        <v>440000</v>
      </c>
      <c r="AB58" s="778"/>
      <c r="AC58" s="778"/>
      <c r="AD58" s="762">
        <f>T58+V58+X58+Z58+AA58+AB58+AC58</f>
        <v>11850560</v>
      </c>
      <c r="AE58" s="762">
        <f t="shared" ref="AE58:AE59" si="56">AD58+R58</f>
        <v>11850560</v>
      </c>
    </row>
    <row r="59" spans="1:31" s="756" customFormat="1" ht="141">
      <c r="A59" s="773">
        <v>44</v>
      </c>
      <c r="B59" s="802">
        <v>3</v>
      </c>
      <c r="C59" s="804" t="s">
        <v>977</v>
      </c>
      <c r="D59" s="761" t="s">
        <v>969</v>
      </c>
      <c r="E59" s="761" t="s">
        <v>970</v>
      </c>
      <c r="F59" s="779">
        <v>6</v>
      </c>
      <c r="G59" s="779">
        <v>8</v>
      </c>
      <c r="H59" s="881"/>
      <c r="I59" s="762"/>
      <c r="J59" s="762"/>
      <c r="K59" s="762"/>
      <c r="L59" s="762"/>
      <c r="M59" s="762"/>
      <c r="N59" s="762"/>
      <c r="O59" s="778"/>
      <c r="P59" s="778"/>
      <c r="Q59" s="778"/>
      <c r="R59" s="762"/>
      <c r="S59" s="762">
        <v>46830</v>
      </c>
      <c r="T59" s="767">
        <f t="shared" si="51"/>
        <v>2247840</v>
      </c>
      <c r="U59" s="779">
        <v>37464</v>
      </c>
      <c r="V59" s="767">
        <f t="shared" si="52"/>
        <v>1798272</v>
      </c>
      <c r="W59" s="778">
        <v>20000</v>
      </c>
      <c r="X59" s="767">
        <f t="shared" si="53"/>
        <v>160000</v>
      </c>
      <c r="Y59" s="778">
        <v>811000</v>
      </c>
      <c r="Z59" s="767">
        <f t="shared" si="54"/>
        <v>6488000</v>
      </c>
      <c r="AA59" s="761">
        <f t="shared" si="55"/>
        <v>440000</v>
      </c>
      <c r="AB59" s="778"/>
      <c r="AC59" s="778"/>
      <c r="AD59" s="762">
        <f>T59+V59+X59+Z59+AA59+AB59+AC59</f>
        <v>11134112</v>
      </c>
      <c r="AE59" s="762">
        <f t="shared" si="56"/>
        <v>11134112</v>
      </c>
    </row>
    <row r="60" spans="1:31" s="756" customFormat="1" ht="84.75" customHeight="1">
      <c r="A60" s="1737" t="s">
        <v>886</v>
      </c>
      <c r="B60" s="1737"/>
      <c r="C60" s="1737"/>
      <c r="D60" s="1737"/>
      <c r="E60" s="1737"/>
      <c r="F60" s="1737"/>
      <c r="G60" s="1737"/>
      <c r="H60" s="1737"/>
      <c r="I60" s="780"/>
      <c r="J60" s="780"/>
      <c r="K60" s="780"/>
      <c r="L60" s="780"/>
      <c r="M60" s="780"/>
      <c r="N60" s="780"/>
      <c r="O60" s="780"/>
      <c r="P60" s="780"/>
      <c r="Q60" s="780"/>
      <c r="R60" s="780"/>
      <c r="S60" s="780"/>
      <c r="T60" s="780">
        <f>SUM(T57:T59)</f>
        <v>6519840</v>
      </c>
      <c r="U60" s="780"/>
      <c r="V60" s="780">
        <f>SUM(V57:V59)</f>
        <v>4416832</v>
      </c>
      <c r="W60" s="780"/>
      <c r="X60" s="780">
        <f>SUM(X57:X59)</f>
        <v>440000</v>
      </c>
      <c r="Y60" s="780"/>
      <c r="Z60" s="780">
        <f>SUM(Z57:Z59)</f>
        <v>17328000</v>
      </c>
      <c r="AA60" s="780">
        <f>SUM(AA57:AA59)</f>
        <v>880000</v>
      </c>
      <c r="AB60" s="780"/>
      <c r="AC60" s="780">
        <f t="shared" ref="AC60" si="57">SUM(AC57:AC59)</f>
        <v>273000</v>
      </c>
      <c r="AD60" s="780">
        <f>SUM(AD57:AD59)</f>
        <v>29857672</v>
      </c>
      <c r="AE60" s="780">
        <f>SUM(AE57:AE59)</f>
        <v>29857672</v>
      </c>
    </row>
    <row r="61" spans="1:31" s="756" customFormat="1" ht="76.5">
      <c r="A61" s="1738" t="s">
        <v>978</v>
      </c>
      <c r="B61" s="1738"/>
      <c r="C61" s="1738"/>
      <c r="D61" s="1738"/>
      <c r="E61" s="1738"/>
      <c r="F61" s="1738"/>
      <c r="G61" s="1738"/>
      <c r="H61" s="1738"/>
      <c r="I61" s="1738"/>
      <c r="J61" s="1738"/>
      <c r="K61" s="1738"/>
      <c r="L61" s="1738"/>
      <c r="M61" s="1738"/>
      <c r="N61" s="1738"/>
      <c r="O61" s="1738"/>
      <c r="P61" s="1738"/>
      <c r="Q61" s="1738"/>
      <c r="R61" s="1738"/>
      <c r="S61" s="1738"/>
      <c r="T61" s="1738"/>
      <c r="U61" s="1738"/>
      <c r="V61" s="1738"/>
      <c r="W61" s="1738"/>
      <c r="X61" s="1738"/>
      <c r="Y61" s="1738"/>
      <c r="Z61" s="1738"/>
      <c r="AA61" s="1738"/>
      <c r="AB61" s="1738"/>
      <c r="AC61" s="1738"/>
      <c r="AD61" s="1738"/>
      <c r="AE61" s="1738"/>
    </row>
    <row r="62" spans="1:31" s="756" customFormat="1" ht="76.5">
      <c r="A62" s="129">
        <v>45</v>
      </c>
      <c r="B62" s="129">
        <v>1</v>
      </c>
      <c r="C62" s="805" t="s">
        <v>979</v>
      </c>
      <c r="D62" s="806" t="s">
        <v>980</v>
      </c>
      <c r="E62" s="125" t="s">
        <v>981</v>
      </c>
      <c r="F62" s="808">
        <v>7</v>
      </c>
      <c r="G62" s="126">
        <v>5</v>
      </c>
      <c r="H62" s="880"/>
      <c r="I62" s="125"/>
      <c r="J62" s="126"/>
      <c r="K62" s="125"/>
      <c r="L62" s="125"/>
      <c r="M62" s="129"/>
      <c r="N62" s="129"/>
      <c r="O62" s="129"/>
      <c r="P62" s="129"/>
      <c r="Q62" s="129"/>
      <c r="R62" s="129"/>
      <c r="S62" s="798">
        <v>45000</v>
      </c>
      <c r="T62" s="767">
        <f t="shared" ref="T62:T63" si="58">S62*F62*(G62+H62)</f>
        <v>1575000</v>
      </c>
      <c r="U62" s="798">
        <v>30000</v>
      </c>
      <c r="V62" s="767">
        <f t="shared" ref="V62:V63" si="59">U62*F62*(G62+H62)</f>
        <v>1050000</v>
      </c>
      <c r="W62" s="798">
        <v>3500</v>
      </c>
      <c r="X62" s="767">
        <f t="shared" ref="X62:X63" si="60">W62*(G62+H62)</f>
        <v>17500</v>
      </c>
      <c r="Y62" s="798">
        <v>250000</v>
      </c>
      <c r="Z62" s="767">
        <f t="shared" ref="Z62:Z63" si="61">Y62*(G62+H62)</f>
        <v>1250000</v>
      </c>
      <c r="AA62" s="798"/>
      <c r="AB62" s="798"/>
      <c r="AC62" s="798">
        <v>420000</v>
      </c>
      <c r="AD62" s="762">
        <f t="shared" ref="AD62:AD63" si="62">T62+V62+X62+Z62+AA62+AB62+AC62</f>
        <v>4312500</v>
      </c>
      <c r="AE62" s="821">
        <f t="shared" ref="AE62:AE67" si="63">R62+AD62</f>
        <v>4312500</v>
      </c>
    </row>
    <row r="63" spans="1:31" s="756" customFormat="1" ht="247.5" customHeight="1">
      <c r="A63" s="796">
        <v>46</v>
      </c>
      <c r="B63" s="126">
        <v>2</v>
      </c>
      <c r="C63" s="805" t="s">
        <v>1026</v>
      </c>
      <c r="D63" s="806" t="s">
        <v>982</v>
      </c>
      <c r="E63" s="125" t="s">
        <v>983</v>
      </c>
      <c r="F63" s="125">
        <v>12</v>
      </c>
      <c r="G63" s="126">
        <v>10</v>
      </c>
      <c r="H63" s="871"/>
      <c r="I63" s="125"/>
      <c r="J63" s="126"/>
      <c r="K63" s="125"/>
      <c r="L63" s="125"/>
      <c r="M63" s="129"/>
      <c r="N63" s="129"/>
      <c r="O63" s="129"/>
      <c r="P63" s="129"/>
      <c r="Q63" s="129"/>
      <c r="R63" s="129"/>
      <c r="S63" s="798">
        <v>45000</v>
      </c>
      <c r="T63" s="767">
        <f t="shared" si="58"/>
        <v>5400000</v>
      </c>
      <c r="U63" s="798">
        <v>30000</v>
      </c>
      <c r="V63" s="767">
        <f t="shared" si="59"/>
        <v>3600000</v>
      </c>
      <c r="W63" s="798">
        <v>2000</v>
      </c>
      <c r="X63" s="767">
        <f t="shared" si="60"/>
        <v>20000</v>
      </c>
      <c r="Y63" s="798">
        <v>250000</v>
      </c>
      <c r="Z63" s="767">
        <f t="shared" si="61"/>
        <v>2500000</v>
      </c>
      <c r="AA63" s="798"/>
      <c r="AB63" s="798"/>
      <c r="AC63" s="798"/>
      <c r="AD63" s="762">
        <f t="shared" si="62"/>
        <v>11520000</v>
      </c>
      <c r="AE63" s="821">
        <f t="shared" si="63"/>
        <v>11520000</v>
      </c>
    </row>
    <row r="64" spans="1:31" s="756" customFormat="1" ht="352.5">
      <c r="A64" s="796">
        <v>47</v>
      </c>
      <c r="B64" s="126">
        <v>3</v>
      </c>
      <c r="C64" s="805" t="s">
        <v>984</v>
      </c>
      <c r="D64" s="806" t="s">
        <v>985</v>
      </c>
      <c r="E64" s="125" t="s">
        <v>986</v>
      </c>
      <c r="F64" s="125">
        <v>15</v>
      </c>
      <c r="G64" s="126">
        <v>5</v>
      </c>
      <c r="H64" s="871"/>
      <c r="I64" s="125">
        <v>9000</v>
      </c>
      <c r="J64" s="768">
        <f>(G64+H64)*I64*F64</f>
        <v>675000</v>
      </c>
      <c r="K64" s="125">
        <f>2.5*3450</f>
        <v>8625</v>
      </c>
      <c r="L64" s="767">
        <f>K64*F64*G64</f>
        <v>646875</v>
      </c>
      <c r="M64" s="769">
        <f>3605*2</f>
        <v>7210</v>
      </c>
      <c r="N64" s="769">
        <f t="shared" ref="N64" si="64">M64*H64*F64</f>
        <v>0</v>
      </c>
      <c r="O64" s="129">
        <v>15000</v>
      </c>
      <c r="P64" s="129">
        <f t="shared" ref="P64" si="65">O64*H64*2</f>
        <v>0</v>
      </c>
      <c r="Q64" s="129"/>
      <c r="R64" s="769">
        <f>SUM(J64+L64+N64+P64)+Q64</f>
        <v>1321875</v>
      </c>
      <c r="S64" s="798"/>
      <c r="T64" s="125"/>
      <c r="U64" s="798"/>
      <c r="V64" s="125"/>
      <c r="W64" s="798"/>
      <c r="X64" s="125"/>
      <c r="Y64" s="798"/>
      <c r="Z64" s="125"/>
      <c r="AA64" s="798"/>
      <c r="AB64" s="798"/>
      <c r="AC64" s="798"/>
      <c r="AD64" s="773"/>
      <c r="AE64" s="821">
        <f t="shared" si="63"/>
        <v>1321875</v>
      </c>
    </row>
    <row r="65" spans="1:31" s="756" customFormat="1" ht="211.5">
      <c r="A65" s="129">
        <v>48</v>
      </c>
      <c r="B65" s="129">
        <v>4</v>
      </c>
      <c r="C65" s="805" t="s">
        <v>987</v>
      </c>
      <c r="D65" s="806" t="s">
        <v>988</v>
      </c>
      <c r="E65" s="125" t="s">
        <v>989</v>
      </c>
      <c r="F65" s="125">
        <v>7</v>
      </c>
      <c r="G65" s="126">
        <v>5</v>
      </c>
      <c r="H65" s="871"/>
      <c r="I65" s="125"/>
      <c r="J65" s="126"/>
      <c r="K65" s="125"/>
      <c r="L65" s="125"/>
      <c r="M65" s="129"/>
      <c r="N65" s="129"/>
      <c r="O65" s="129"/>
      <c r="P65" s="129"/>
      <c r="Q65" s="129"/>
      <c r="R65" s="129"/>
      <c r="S65" s="798">
        <v>45000</v>
      </c>
      <c r="T65" s="767">
        <f t="shared" ref="T65" si="66">S65*F65*(G65+H65)</f>
        <v>1575000</v>
      </c>
      <c r="U65" s="798">
        <v>30000</v>
      </c>
      <c r="V65" s="767">
        <f>U65*F65*(G65+H65)</f>
        <v>1050000</v>
      </c>
      <c r="W65" s="798">
        <v>2000</v>
      </c>
      <c r="X65" s="767">
        <f>W65*(G65+H65)</f>
        <v>10000</v>
      </c>
      <c r="Y65" s="798">
        <v>350000</v>
      </c>
      <c r="Z65" s="767">
        <f>Y65*(G65+H65)</f>
        <v>1750000</v>
      </c>
      <c r="AA65" s="761">
        <f t="shared" ref="AA65" si="67">55000*(G65+H65)</f>
        <v>275000</v>
      </c>
      <c r="AB65" s="798"/>
      <c r="AC65" s="798">
        <v>420000</v>
      </c>
      <c r="AD65" s="762">
        <f>T65+V65+X65+Z65+AA65+AB65+AC65</f>
        <v>5080000</v>
      </c>
      <c r="AE65" s="821">
        <f t="shared" si="63"/>
        <v>5080000</v>
      </c>
    </row>
    <row r="66" spans="1:31" s="756" customFormat="1" ht="352.5">
      <c r="A66" s="796">
        <v>49</v>
      </c>
      <c r="B66" s="126">
        <v>5</v>
      </c>
      <c r="C66" s="805" t="s">
        <v>984</v>
      </c>
      <c r="D66" s="806" t="s">
        <v>990</v>
      </c>
      <c r="E66" s="125" t="s">
        <v>986</v>
      </c>
      <c r="F66" s="125">
        <v>15</v>
      </c>
      <c r="G66" s="126">
        <v>8</v>
      </c>
      <c r="H66" s="871"/>
      <c r="I66" s="125">
        <v>9000</v>
      </c>
      <c r="J66" s="768">
        <f>(G66+H66)*I66*F66</f>
        <v>1080000</v>
      </c>
      <c r="K66" s="125">
        <f>2.5*3450</f>
        <v>8625</v>
      </c>
      <c r="L66" s="767">
        <f>K66*F66*G66</f>
        <v>1035000</v>
      </c>
      <c r="M66" s="769">
        <f>3605*2</f>
        <v>7210</v>
      </c>
      <c r="N66" s="769">
        <f t="shared" ref="N66" si="68">M66*H66*F66</f>
        <v>0</v>
      </c>
      <c r="O66" s="129">
        <v>15000</v>
      </c>
      <c r="P66" s="129">
        <f t="shared" ref="P66" si="69">O66*H66*2</f>
        <v>0</v>
      </c>
      <c r="Q66" s="129"/>
      <c r="R66" s="769">
        <f>SUM(J66+L66+N66+P66)+Q66</f>
        <v>2115000</v>
      </c>
      <c r="S66" s="798"/>
      <c r="T66" s="125"/>
      <c r="U66" s="798"/>
      <c r="V66" s="125"/>
      <c r="W66" s="798"/>
      <c r="X66" s="125"/>
      <c r="Y66" s="798"/>
      <c r="Z66" s="125"/>
      <c r="AA66" s="798"/>
      <c r="AB66" s="798"/>
      <c r="AC66" s="822"/>
      <c r="AD66" s="773"/>
      <c r="AE66" s="821">
        <f t="shared" si="63"/>
        <v>2115000</v>
      </c>
    </row>
    <row r="67" spans="1:31" s="756" customFormat="1" ht="141">
      <c r="A67" s="796">
        <v>50</v>
      </c>
      <c r="B67" s="126">
        <v>6</v>
      </c>
      <c r="C67" s="805" t="s">
        <v>991</v>
      </c>
      <c r="D67" s="806" t="s">
        <v>992</v>
      </c>
      <c r="E67" s="125" t="s">
        <v>993</v>
      </c>
      <c r="F67" s="125">
        <v>10</v>
      </c>
      <c r="G67" s="126">
        <v>8</v>
      </c>
      <c r="H67" s="871"/>
      <c r="I67" s="125"/>
      <c r="J67" s="126"/>
      <c r="K67" s="125"/>
      <c r="L67" s="125"/>
      <c r="M67" s="129"/>
      <c r="N67" s="129"/>
      <c r="O67" s="129"/>
      <c r="P67" s="129"/>
      <c r="Q67" s="129"/>
      <c r="R67" s="129"/>
      <c r="S67" s="798">
        <v>45000</v>
      </c>
      <c r="T67" s="767">
        <f t="shared" ref="T67" si="70">S67*F67*(G67+H67)</f>
        <v>3600000</v>
      </c>
      <c r="U67" s="798">
        <v>30000</v>
      </c>
      <c r="V67" s="767">
        <f>U67*F67*(G67+H67)</f>
        <v>2400000</v>
      </c>
      <c r="W67" s="798">
        <v>2500</v>
      </c>
      <c r="X67" s="767">
        <f>W67*(G67+H67)</f>
        <v>20000</v>
      </c>
      <c r="Y67" s="798">
        <v>350000</v>
      </c>
      <c r="Z67" s="767">
        <f>Y67*(G67+H67)</f>
        <v>2800000</v>
      </c>
      <c r="AA67" s="761">
        <f t="shared" ref="AA67" si="71">55000*(G67+H67)</f>
        <v>440000</v>
      </c>
      <c r="AB67" s="798"/>
      <c r="AC67" s="798">
        <v>420000</v>
      </c>
      <c r="AD67" s="762">
        <f>T67+V67+X67+Z67+AA67+AB67+AC67</f>
        <v>9680000</v>
      </c>
      <c r="AE67" s="821">
        <f t="shared" si="63"/>
        <v>9680000</v>
      </c>
    </row>
    <row r="68" spans="1:31" s="756" customFormat="1" ht="76.5">
      <c r="A68" s="1739" t="s">
        <v>886</v>
      </c>
      <c r="B68" s="1739"/>
      <c r="C68" s="1739"/>
      <c r="D68" s="1739"/>
      <c r="E68" s="1739"/>
      <c r="F68" s="1739"/>
      <c r="G68" s="1739"/>
      <c r="H68" s="1739"/>
      <c r="I68" s="870"/>
      <c r="J68" s="870">
        <f>SUM(J62:J67)</f>
        <v>1755000</v>
      </c>
      <c r="K68" s="870"/>
      <c r="L68" s="870">
        <f>SUM(L62:L67)</f>
        <v>1681875</v>
      </c>
      <c r="M68" s="870"/>
      <c r="N68" s="870">
        <f>SUM(N62:N67)</f>
        <v>0</v>
      </c>
      <c r="O68" s="869"/>
      <c r="P68" s="870">
        <f>SUM(P62:P67)</f>
        <v>0</v>
      </c>
      <c r="Q68" s="869"/>
      <c r="R68" s="870">
        <f>SUM(R62:R67)</f>
        <v>3436875</v>
      </c>
      <c r="S68" s="869"/>
      <c r="T68" s="870">
        <f>SUM(T62:T67)</f>
        <v>12150000</v>
      </c>
      <c r="U68" s="869"/>
      <c r="V68" s="870">
        <f>SUM(V62:V67)</f>
        <v>8100000</v>
      </c>
      <c r="W68" s="869"/>
      <c r="X68" s="870">
        <f>SUM(X62:X67)</f>
        <v>67500</v>
      </c>
      <c r="Y68" s="869"/>
      <c r="Z68" s="870">
        <f t="shared" ref="Z68:AD68" si="72">SUM(Z62:Z67)</f>
        <v>8300000</v>
      </c>
      <c r="AA68" s="870">
        <f t="shared" si="72"/>
        <v>715000</v>
      </c>
      <c r="AB68" s="870">
        <f t="shared" si="72"/>
        <v>0</v>
      </c>
      <c r="AC68" s="870">
        <f t="shared" si="72"/>
        <v>1260000</v>
      </c>
      <c r="AD68" s="870">
        <f t="shared" si="72"/>
        <v>30592500</v>
      </c>
      <c r="AE68" s="870">
        <f>SUM(AE62:AE67)</f>
        <v>34029375</v>
      </c>
    </row>
    <row r="69" spans="1:31" s="756" customFormat="1" ht="76.5">
      <c r="A69" s="1736" t="s">
        <v>994</v>
      </c>
      <c r="B69" s="1736"/>
      <c r="C69" s="1736"/>
      <c r="D69" s="1736"/>
      <c r="E69" s="1736"/>
      <c r="F69" s="1736"/>
      <c r="G69" s="1736"/>
      <c r="H69" s="1736"/>
      <c r="I69" s="1736"/>
      <c r="J69" s="1736"/>
      <c r="K69" s="1736"/>
      <c r="L69" s="1736"/>
      <c r="M69" s="1736"/>
      <c r="N69" s="1736"/>
      <c r="O69" s="1736"/>
      <c r="P69" s="1736"/>
      <c r="Q69" s="1736"/>
      <c r="R69" s="1736"/>
      <c r="S69" s="1736"/>
      <c r="T69" s="1736"/>
      <c r="U69" s="1736"/>
      <c r="V69" s="1736"/>
      <c r="W69" s="1736"/>
      <c r="X69" s="1736"/>
      <c r="Y69" s="1736"/>
      <c r="Z69" s="1736"/>
      <c r="AA69" s="1736"/>
      <c r="AB69" s="1736"/>
      <c r="AC69" s="1736"/>
      <c r="AD69" s="1736"/>
      <c r="AE69" s="1736"/>
    </row>
    <row r="70" spans="1:31" s="756" customFormat="1" ht="76.5">
      <c r="A70" s="129">
        <v>51</v>
      </c>
      <c r="B70" s="129">
        <v>1</v>
      </c>
      <c r="C70" s="805" t="s">
        <v>979</v>
      </c>
      <c r="D70" s="806" t="s">
        <v>995</v>
      </c>
      <c r="E70" s="125" t="s">
        <v>981</v>
      </c>
      <c r="F70" s="808">
        <v>7</v>
      </c>
      <c r="G70" s="126">
        <v>2</v>
      </c>
      <c r="H70" s="880"/>
      <c r="I70" s="125"/>
      <c r="J70" s="823"/>
      <c r="K70" s="125"/>
      <c r="L70" s="811"/>
      <c r="M70" s="129"/>
      <c r="N70" s="824"/>
      <c r="O70" s="129"/>
      <c r="P70" s="129"/>
      <c r="Q70" s="129"/>
      <c r="R70" s="824"/>
      <c r="S70" s="798">
        <v>45000</v>
      </c>
      <c r="T70" s="767">
        <f t="shared" ref="T70" si="73">S70*F70*(G70+H70)</f>
        <v>630000</v>
      </c>
      <c r="U70" s="798">
        <v>30000</v>
      </c>
      <c r="V70" s="767">
        <f>U70*F70*(G70+H70)</f>
        <v>420000</v>
      </c>
      <c r="W70" s="798">
        <v>3500</v>
      </c>
      <c r="X70" s="767">
        <f>W70*(G70+H70)</f>
        <v>7000</v>
      </c>
      <c r="Y70" s="798">
        <v>250000</v>
      </c>
      <c r="Z70" s="767">
        <f>Y70*(G70+H70)</f>
        <v>500000</v>
      </c>
      <c r="AA70" s="798"/>
      <c r="AB70" s="798"/>
      <c r="AC70" s="798">
        <v>261445</v>
      </c>
      <c r="AD70" s="762">
        <f>T70+V70+X70+Z70+AA70+AB70+AC70</f>
        <v>1818445</v>
      </c>
      <c r="AE70" s="821">
        <f>R70+AD70</f>
        <v>1818445</v>
      </c>
    </row>
    <row r="71" spans="1:31" s="756" customFormat="1" ht="352.5">
      <c r="A71" s="129">
        <v>52</v>
      </c>
      <c r="B71" s="126">
        <v>2</v>
      </c>
      <c r="C71" s="805" t="s">
        <v>984</v>
      </c>
      <c r="D71" s="806" t="s">
        <v>996</v>
      </c>
      <c r="E71" s="125" t="s">
        <v>986</v>
      </c>
      <c r="F71" s="125">
        <v>15</v>
      </c>
      <c r="G71" s="126">
        <v>2</v>
      </c>
      <c r="H71" s="871"/>
      <c r="I71" s="125">
        <v>9000</v>
      </c>
      <c r="J71" s="768">
        <f>(G71+H71)*I71*F71</f>
        <v>270000</v>
      </c>
      <c r="K71" s="125">
        <f>2.5*3450</f>
        <v>8625</v>
      </c>
      <c r="L71" s="767">
        <f>K71*F71*G71</f>
        <v>258750</v>
      </c>
      <c r="M71" s="769">
        <f>3605*2</f>
        <v>7210</v>
      </c>
      <c r="N71" s="769">
        <f t="shared" ref="N71" si="74">M71*H71*F71</f>
        <v>0</v>
      </c>
      <c r="O71" s="129">
        <v>15000</v>
      </c>
      <c r="P71" s="129">
        <f t="shared" ref="P71" si="75">O71*H71*2</f>
        <v>0</v>
      </c>
      <c r="Q71" s="129"/>
      <c r="R71" s="769">
        <f>SUM(J71+L71+N71+P71)+Q71</f>
        <v>528750</v>
      </c>
      <c r="S71" s="798"/>
      <c r="T71" s="125"/>
      <c r="U71" s="798"/>
      <c r="V71" s="125"/>
      <c r="W71" s="798"/>
      <c r="X71" s="125"/>
      <c r="Y71" s="798"/>
      <c r="Z71" s="125"/>
      <c r="AA71" s="798"/>
      <c r="AB71" s="798"/>
      <c r="AC71" s="798"/>
      <c r="AD71" s="773"/>
      <c r="AE71" s="821">
        <f t="shared" ref="AE71:AE74" si="76">R71+AD71</f>
        <v>528750</v>
      </c>
    </row>
    <row r="72" spans="1:31" s="756" customFormat="1" ht="211.5">
      <c r="A72" s="129">
        <v>53</v>
      </c>
      <c r="B72" s="126">
        <v>3</v>
      </c>
      <c r="C72" s="805" t="s">
        <v>987</v>
      </c>
      <c r="D72" s="806" t="s">
        <v>997</v>
      </c>
      <c r="E72" s="125" t="s">
        <v>389</v>
      </c>
      <c r="F72" s="125">
        <v>7</v>
      </c>
      <c r="G72" s="126">
        <v>2</v>
      </c>
      <c r="H72" s="871"/>
      <c r="I72" s="125"/>
      <c r="J72" s="823"/>
      <c r="K72" s="125"/>
      <c r="L72" s="811"/>
      <c r="M72" s="129"/>
      <c r="N72" s="824"/>
      <c r="O72" s="129"/>
      <c r="P72" s="129"/>
      <c r="Q72" s="129"/>
      <c r="R72" s="129"/>
      <c r="S72" s="798">
        <v>45000</v>
      </c>
      <c r="T72" s="767">
        <f t="shared" ref="T72" si="77">S72*F72*(G72+H72)</f>
        <v>630000</v>
      </c>
      <c r="U72" s="798">
        <v>30000</v>
      </c>
      <c r="V72" s="767">
        <f>U72*F72*(G72+H72)</f>
        <v>420000</v>
      </c>
      <c r="W72" s="798">
        <v>3500</v>
      </c>
      <c r="X72" s="767">
        <f>W72*(G72+H72)</f>
        <v>7000</v>
      </c>
      <c r="Y72" s="798">
        <v>350000</v>
      </c>
      <c r="Z72" s="767">
        <f>Y72*(G72+H72)</f>
        <v>700000</v>
      </c>
      <c r="AA72" s="761">
        <f t="shared" ref="AA72" si="78">55000*(G72+H72)</f>
        <v>110000</v>
      </c>
      <c r="AB72" s="798"/>
      <c r="AC72" s="798">
        <v>180000</v>
      </c>
      <c r="AD72" s="762">
        <f>T72+V72+X72+Z72+AA72+AB72+AC72</f>
        <v>2047000</v>
      </c>
      <c r="AE72" s="821">
        <f t="shared" si="76"/>
        <v>2047000</v>
      </c>
    </row>
    <row r="73" spans="1:31" s="756" customFormat="1" ht="352.5">
      <c r="A73" s="129">
        <v>54</v>
      </c>
      <c r="B73" s="126">
        <v>4</v>
      </c>
      <c r="C73" s="805" t="s">
        <v>984</v>
      </c>
      <c r="D73" s="806" t="s">
        <v>998</v>
      </c>
      <c r="E73" s="125" t="s">
        <v>986</v>
      </c>
      <c r="F73" s="125">
        <v>15</v>
      </c>
      <c r="G73" s="126">
        <v>2</v>
      </c>
      <c r="H73" s="871"/>
      <c r="I73" s="125">
        <v>9000</v>
      </c>
      <c r="J73" s="768">
        <f>(G73+H73)*I73*F73</f>
        <v>270000</v>
      </c>
      <c r="K73" s="125">
        <f>2.5*3450</f>
        <v>8625</v>
      </c>
      <c r="L73" s="767">
        <f>K73*F73*G73</f>
        <v>258750</v>
      </c>
      <c r="M73" s="769">
        <f>3605*2</f>
        <v>7210</v>
      </c>
      <c r="N73" s="769">
        <f t="shared" ref="N73" si="79">M73*H73*F73</f>
        <v>0</v>
      </c>
      <c r="O73" s="129">
        <v>15000</v>
      </c>
      <c r="P73" s="129">
        <f t="shared" ref="P73" si="80">O73*H73*2</f>
        <v>0</v>
      </c>
      <c r="Q73" s="129"/>
      <c r="R73" s="769">
        <f>SUM(J73+L73+N73+P73)+Q73</f>
        <v>528750</v>
      </c>
      <c r="S73" s="798"/>
      <c r="T73" s="125"/>
      <c r="U73" s="798"/>
      <c r="V73" s="125"/>
      <c r="W73" s="798"/>
      <c r="X73" s="125"/>
      <c r="Y73" s="798"/>
      <c r="Z73" s="125"/>
      <c r="AA73" s="798"/>
      <c r="AB73" s="798"/>
      <c r="AC73" s="798"/>
      <c r="AD73" s="773"/>
      <c r="AE73" s="821">
        <f t="shared" si="76"/>
        <v>528750</v>
      </c>
    </row>
    <row r="74" spans="1:31" s="756" customFormat="1" ht="141">
      <c r="A74" s="129">
        <v>55</v>
      </c>
      <c r="B74" s="126">
        <v>5</v>
      </c>
      <c r="C74" s="805" t="s">
        <v>999</v>
      </c>
      <c r="D74" s="806" t="s">
        <v>1000</v>
      </c>
      <c r="E74" s="125" t="s">
        <v>993</v>
      </c>
      <c r="F74" s="125">
        <v>10</v>
      </c>
      <c r="G74" s="126">
        <v>1</v>
      </c>
      <c r="H74" s="871"/>
      <c r="I74" s="125"/>
      <c r="J74" s="823"/>
      <c r="K74" s="125"/>
      <c r="L74" s="811"/>
      <c r="M74" s="129"/>
      <c r="N74" s="824"/>
      <c r="O74" s="129"/>
      <c r="P74" s="129"/>
      <c r="Q74" s="129"/>
      <c r="R74" s="824"/>
      <c r="S74" s="798">
        <v>45000</v>
      </c>
      <c r="T74" s="767">
        <f t="shared" ref="T74" si="81">S74*F74*(G74+H74)</f>
        <v>450000</v>
      </c>
      <c r="U74" s="798">
        <v>30000</v>
      </c>
      <c r="V74" s="767">
        <f>U74*F74*(G74+H74)</f>
        <v>300000</v>
      </c>
      <c r="W74" s="798">
        <v>10000</v>
      </c>
      <c r="X74" s="767">
        <f>W74*(G74+H74)</f>
        <v>10000</v>
      </c>
      <c r="Y74" s="798">
        <v>350000</v>
      </c>
      <c r="Z74" s="767">
        <f>Y74*(G74+H74)</f>
        <v>350000</v>
      </c>
      <c r="AA74" s="761">
        <f t="shared" ref="AA74" si="82">55000*(G74+H74)</f>
        <v>55000</v>
      </c>
      <c r="AB74" s="798"/>
      <c r="AC74" s="798">
        <v>420000</v>
      </c>
      <c r="AD74" s="762">
        <f>T74+V74+X74+Z74+AA74+AB74+AC74</f>
        <v>1585000</v>
      </c>
      <c r="AE74" s="821">
        <f t="shared" si="76"/>
        <v>1585000</v>
      </c>
    </row>
    <row r="75" spans="1:31" s="756" customFormat="1" ht="74.25" customHeight="1">
      <c r="A75" s="1664" t="s">
        <v>886</v>
      </c>
      <c r="B75" s="1664"/>
      <c r="C75" s="1664"/>
      <c r="D75" s="1664"/>
      <c r="E75" s="1664"/>
      <c r="F75" s="781"/>
      <c r="G75" s="781"/>
      <c r="H75" s="873"/>
      <c r="I75" s="781"/>
      <c r="J75" s="781">
        <f>SUM(J70:J74)</f>
        <v>540000</v>
      </c>
      <c r="K75" s="781"/>
      <c r="L75" s="781">
        <f>SUM(L70:L74)</f>
        <v>517500</v>
      </c>
      <c r="M75" s="781"/>
      <c r="N75" s="781">
        <f>SUM(N70:N74)</f>
        <v>0</v>
      </c>
      <c r="O75" s="781"/>
      <c r="P75" s="781">
        <f>SUM(P70:P74)</f>
        <v>0</v>
      </c>
      <c r="Q75" s="781"/>
      <c r="R75" s="781">
        <f>SUM(R70:R74)</f>
        <v>1057500</v>
      </c>
      <c r="S75" s="781"/>
      <c r="T75" s="781">
        <f>SUM(T70:T74)</f>
        <v>1710000</v>
      </c>
      <c r="U75" s="781"/>
      <c r="V75" s="781">
        <f>SUM(V70:V74)</f>
        <v>1140000</v>
      </c>
      <c r="W75" s="781"/>
      <c r="X75" s="781">
        <f>SUM(X70:X74)</f>
        <v>24000</v>
      </c>
      <c r="Y75" s="781"/>
      <c r="Z75" s="781">
        <f t="shared" ref="Z75:AE75" si="83">SUM(Z70:Z74)</f>
        <v>1550000</v>
      </c>
      <c r="AA75" s="781">
        <f t="shared" si="83"/>
        <v>165000</v>
      </c>
      <c r="AB75" s="781">
        <f t="shared" si="83"/>
        <v>0</v>
      </c>
      <c r="AC75" s="781">
        <f t="shared" si="83"/>
        <v>861445</v>
      </c>
      <c r="AD75" s="781">
        <f t="shared" si="83"/>
        <v>5450445</v>
      </c>
      <c r="AE75" s="781">
        <f t="shared" si="83"/>
        <v>6507945</v>
      </c>
    </row>
    <row r="76" spans="1:31" s="756" customFormat="1" ht="76.5">
      <c r="A76" s="1736" t="s">
        <v>1001</v>
      </c>
      <c r="B76" s="1736"/>
      <c r="C76" s="1736"/>
      <c r="D76" s="1736"/>
      <c r="E76" s="1736"/>
      <c r="F76" s="1736"/>
      <c r="G76" s="1736"/>
      <c r="H76" s="1736"/>
      <c r="I76" s="1736"/>
      <c r="J76" s="1736"/>
      <c r="K76" s="1736"/>
      <c r="L76" s="1736"/>
      <c r="M76" s="1736"/>
      <c r="N76" s="1736"/>
      <c r="O76" s="1736"/>
      <c r="P76" s="1736"/>
      <c r="Q76" s="1736"/>
      <c r="R76" s="1736"/>
      <c r="S76" s="1736"/>
      <c r="T76" s="1736"/>
      <c r="U76" s="1736"/>
      <c r="V76" s="1736"/>
      <c r="W76" s="1736"/>
      <c r="X76" s="1736"/>
      <c r="Y76" s="1736"/>
      <c r="Z76" s="1736"/>
      <c r="AA76" s="1736"/>
      <c r="AB76" s="1736"/>
      <c r="AC76" s="1736"/>
      <c r="AD76" s="1736"/>
      <c r="AE76" s="1736"/>
    </row>
    <row r="77" spans="1:31" s="756" customFormat="1" ht="409.5">
      <c r="A77" s="129">
        <v>56</v>
      </c>
      <c r="B77" s="769">
        <v>1</v>
      </c>
      <c r="C77" s="807" t="s">
        <v>1002</v>
      </c>
      <c r="D77" s="761" t="s">
        <v>1003</v>
      </c>
      <c r="E77" s="125" t="s">
        <v>1004</v>
      </c>
      <c r="F77" s="808">
        <v>14</v>
      </c>
      <c r="G77" s="126">
        <v>6</v>
      </c>
      <c r="H77" s="880"/>
      <c r="I77" s="125">
        <v>8500</v>
      </c>
      <c r="J77" s="768">
        <f>(G77+H77)*I77*F77</f>
        <v>714000</v>
      </c>
      <c r="K77" s="125">
        <f>3450*2.5</f>
        <v>8625</v>
      </c>
      <c r="L77" s="767">
        <f>K77*F77*G77</f>
        <v>724500</v>
      </c>
      <c r="M77" s="769">
        <f>3605*2</f>
        <v>7210</v>
      </c>
      <c r="N77" s="769">
        <f t="shared" ref="N77" si="84">M77*H77*F77</f>
        <v>0</v>
      </c>
      <c r="O77" s="129">
        <v>10000</v>
      </c>
      <c r="P77" s="129">
        <f t="shared" ref="P77" si="85">O77*H77*2</f>
        <v>0</v>
      </c>
      <c r="Q77" s="129"/>
      <c r="R77" s="769">
        <f>SUM(J77+L77+N77+P77)+Q77</f>
        <v>1438500</v>
      </c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773"/>
      <c r="AE77" s="773">
        <f>R77+AD77</f>
        <v>1438500</v>
      </c>
    </row>
    <row r="78" spans="1:31" s="756" customFormat="1" ht="211.5">
      <c r="A78" s="796">
        <v>57</v>
      </c>
      <c r="B78" s="768">
        <v>2</v>
      </c>
      <c r="C78" s="807" t="s">
        <v>902</v>
      </c>
      <c r="D78" s="761" t="s">
        <v>903</v>
      </c>
      <c r="E78" s="125" t="s">
        <v>904</v>
      </c>
      <c r="F78" s="125">
        <v>6</v>
      </c>
      <c r="G78" s="126">
        <v>6</v>
      </c>
      <c r="H78" s="880"/>
      <c r="I78" s="125"/>
      <c r="J78" s="126"/>
      <c r="K78" s="125"/>
      <c r="L78" s="125"/>
      <c r="M78" s="129"/>
      <c r="N78" s="129"/>
      <c r="O78" s="129"/>
      <c r="P78" s="129"/>
      <c r="Q78" s="129"/>
      <c r="R78" s="129"/>
      <c r="S78" s="798">
        <v>17500</v>
      </c>
      <c r="T78" s="767">
        <f t="shared" ref="T78" si="86">S78*F78*(G78+H78)</f>
        <v>630000</v>
      </c>
      <c r="U78" s="798">
        <v>17500</v>
      </c>
      <c r="V78" s="767">
        <f>U78*F78*(G78+H78)</f>
        <v>630000</v>
      </c>
      <c r="W78" s="798">
        <v>14000</v>
      </c>
      <c r="X78" s="767">
        <f>W78*(G78+H78)</f>
        <v>84000</v>
      </c>
      <c r="Y78" s="798">
        <v>350000</v>
      </c>
      <c r="Z78" s="767">
        <f>Y78*(G78+H78)</f>
        <v>2100000</v>
      </c>
      <c r="AA78" s="798"/>
      <c r="AB78" s="798"/>
      <c r="AC78" s="761"/>
      <c r="AD78" s="762">
        <f>T78+V78+X78+Z78+AA78+AB78+AC78</f>
        <v>3444000</v>
      </c>
      <c r="AE78" s="773">
        <f t="shared" ref="AE78:AE85" si="87">R78+AD78</f>
        <v>3444000</v>
      </c>
    </row>
    <row r="79" spans="1:31" s="756" customFormat="1" ht="409.5">
      <c r="A79" s="129">
        <v>58</v>
      </c>
      <c r="B79" s="769">
        <v>3</v>
      </c>
      <c r="C79" s="807" t="s">
        <v>1005</v>
      </c>
      <c r="D79" s="761" t="s">
        <v>906</v>
      </c>
      <c r="E79" s="125" t="s">
        <v>1004</v>
      </c>
      <c r="F79" s="808">
        <v>14</v>
      </c>
      <c r="G79" s="126">
        <v>8</v>
      </c>
      <c r="H79" s="880"/>
      <c r="I79" s="125">
        <v>8500</v>
      </c>
      <c r="J79" s="768">
        <f>(G79+H79)*I79*F79</f>
        <v>952000</v>
      </c>
      <c r="K79" s="125">
        <f>3450*2.5</f>
        <v>8625</v>
      </c>
      <c r="L79" s="767">
        <f>K79*F79*G79</f>
        <v>966000</v>
      </c>
      <c r="M79" s="769">
        <f>3605*2</f>
        <v>7210</v>
      </c>
      <c r="N79" s="769">
        <f t="shared" ref="N79" si="88">M79*H79*F79</f>
        <v>0</v>
      </c>
      <c r="O79" s="129">
        <v>10000</v>
      </c>
      <c r="P79" s="129">
        <f t="shared" ref="P79" si="89">O79*H79*2</f>
        <v>0</v>
      </c>
      <c r="Q79" s="129"/>
      <c r="R79" s="769">
        <f>SUM(J79+L79+N79+P79)+Q79</f>
        <v>1918000</v>
      </c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773"/>
      <c r="AE79" s="773">
        <f t="shared" si="87"/>
        <v>1918000</v>
      </c>
    </row>
    <row r="80" spans="1:31" s="756" customFormat="1" ht="211.5">
      <c r="A80" s="129">
        <v>59</v>
      </c>
      <c r="B80" s="769">
        <v>4</v>
      </c>
      <c r="C80" s="807" t="s">
        <v>1006</v>
      </c>
      <c r="D80" s="761" t="s">
        <v>906</v>
      </c>
      <c r="E80" s="798" t="s">
        <v>910</v>
      </c>
      <c r="F80" s="125">
        <v>7</v>
      </c>
      <c r="G80" s="126">
        <v>8</v>
      </c>
      <c r="H80" s="880"/>
      <c r="I80" s="125"/>
      <c r="J80" s="126"/>
      <c r="K80" s="125"/>
      <c r="L80" s="125"/>
      <c r="M80" s="129"/>
      <c r="N80" s="129"/>
      <c r="O80" s="129"/>
      <c r="P80" s="129"/>
      <c r="Q80" s="129"/>
      <c r="R80" s="129"/>
      <c r="S80" s="798">
        <v>43500</v>
      </c>
      <c r="T80" s="767">
        <f t="shared" ref="T80:T82" si="90">S80*F80*(G80+H80)</f>
        <v>2436000</v>
      </c>
      <c r="U80" s="798">
        <v>43500</v>
      </c>
      <c r="V80" s="767">
        <f>U80*F80*(G80+H80)</f>
        <v>2436000</v>
      </c>
      <c r="W80" s="798">
        <v>14700</v>
      </c>
      <c r="X80" s="767">
        <f>W80*(G80+H80)</f>
        <v>117600</v>
      </c>
      <c r="Y80" s="798">
        <v>450000</v>
      </c>
      <c r="Z80" s="767">
        <f>Y80*(G80+H80)</f>
        <v>3600000</v>
      </c>
      <c r="AA80" s="761">
        <f t="shared" ref="AA80" si="91">55000*(G80+H80)</f>
        <v>440000</v>
      </c>
      <c r="AB80" s="798"/>
      <c r="AC80" s="761">
        <f>(25400*G80)+(49500*H80)</f>
        <v>203200</v>
      </c>
      <c r="AD80" s="762">
        <f>T80+V80+X80+Z80+AA80+AB80+AC80</f>
        <v>9232800</v>
      </c>
      <c r="AE80" s="773">
        <f t="shared" si="87"/>
        <v>9232800</v>
      </c>
    </row>
    <row r="81" spans="1:31" s="756" customFormat="1" ht="352.5">
      <c r="A81" s="769">
        <v>60</v>
      </c>
      <c r="B81" s="769">
        <v>5</v>
      </c>
      <c r="C81" s="807" t="s">
        <v>1007</v>
      </c>
      <c r="D81" s="761" t="s">
        <v>912</v>
      </c>
      <c r="E81" s="761" t="s">
        <v>1008</v>
      </c>
      <c r="F81" s="767">
        <v>14</v>
      </c>
      <c r="G81" s="768">
        <v>8</v>
      </c>
      <c r="H81" s="880"/>
      <c r="I81" s="767"/>
      <c r="J81" s="768"/>
      <c r="K81" s="767"/>
      <c r="L81" s="767"/>
      <c r="M81" s="769"/>
      <c r="N81" s="769"/>
      <c r="O81" s="769"/>
      <c r="P81" s="769"/>
      <c r="Q81" s="769"/>
      <c r="R81" s="769"/>
      <c r="S81" s="761">
        <v>15000</v>
      </c>
      <c r="T81" s="767">
        <f t="shared" si="90"/>
        <v>1680000</v>
      </c>
      <c r="U81" s="761">
        <v>15000</v>
      </c>
      <c r="V81" s="767">
        <f t="shared" ref="V81:V82" si="92">U81*F81*(G81+H81)</f>
        <v>1680000</v>
      </c>
      <c r="W81" s="761">
        <v>14700</v>
      </c>
      <c r="X81" s="767">
        <f>W81*(G81+H81)</f>
        <v>117600</v>
      </c>
      <c r="Y81" s="761">
        <v>20000</v>
      </c>
      <c r="Z81" s="767">
        <f t="shared" ref="Z81:Z82" si="93">Y81*(G81+H81)</f>
        <v>160000</v>
      </c>
      <c r="AA81" s="761"/>
      <c r="AB81" s="761"/>
      <c r="AC81" s="761"/>
      <c r="AD81" s="762">
        <f t="shared" ref="AD81:AD82" si="94">T81+V81+X81+Z81+AA81+AB81+AC81</f>
        <v>3637600</v>
      </c>
      <c r="AE81" s="773">
        <f t="shared" si="87"/>
        <v>3637600</v>
      </c>
    </row>
    <row r="82" spans="1:31" s="756" customFormat="1" ht="211.5">
      <c r="A82" s="129">
        <v>61</v>
      </c>
      <c r="B82" s="769">
        <v>6</v>
      </c>
      <c r="C82" s="807" t="s">
        <v>913</v>
      </c>
      <c r="D82" s="761" t="s">
        <v>912</v>
      </c>
      <c r="E82" s="798" t="s">
        <v>910</v>
      </c>
      <c r="F82" s="125">
        <v>7</v>
      </c>
      <c r="G82" s="126">
        <v>2</v>
      </c>
      <c r="H82" s="880"/>
      <c r="I82" s="125"/>
      <c r="J82" s="126"/>
      <c r="K82" s="125"/>
      <c r="L82" s="125"/>
      <c r="M82" s="129"/>
      <c r="N82" s="129"/>
      <c r="O82" s="129"/>
      <c r="P82" s="129"/>
      <c r="Q82" s="129"/>
      <c r="R82" s="129"/>
      <c r="S82" s="798">
        <v>43500</v>
      </c>
      <c r="T82" s="767">
        <f t="shared" si="90"/>
        <v>609000</v>
      </c>
      <c r="U82" s="798">
        <v>43500</v>
      </c>
      <c r="V82" s="767">
        <f t="shared" si="92"/>
        <v>609000</v>
      </c>
      <c r="W82" s="798">
        <v>14700</v>
      </c>
      <c r="X82" s="767">
        <f>W82*(G82+H82)</f>
        <v>29400</v>
      </c>
      <c r="Y82" s="798">
        <v>450000</v>
      </c>
      <c r="Z82" s="767">
        <f t="shared" si="93"/>
        <v>900000</v>
      </c>
      <c r="AA82" s="761">
        <f t="shared" ref="AA82" si="95">55000*(G82+H82)</f>
        <v>110000</v>
      </c>
      <c r="AB82" s="798"/>
      <c r="AC82" s="761">
        <f>(25400*G82)</f>
        <v>50800</v>
      </c>
      <c r="AD82" s="762">
        <f t="shared" si="94"/>
        <v>2308200</v>
      </c>
      <c r="AE82" s="773">
        <f t="shared" si="87"/>
        <v>2308200</v>
      </c>
    </row>
    <row r="83" spans="1:31" s="756" customFormat="1" ht="409.5">
      <c r="A83" s="129">
        <v>62</v>
      </c>
      <c r="B83" s="769">
        <v>7</v>
      </c>
      <c r="C83" s="807" t="s">
        <v>1009</v>
      </c>
      <c r="D83" s="761" t="s">
        <v>1010</v>
      </c>
      <c r="E83" s="125" t="s">
        <v>1004</v>
      </c>
      <c r="F83" s="808">
        <v>14</v>
      </c>
      <c r="G83" s="126">
        <v>7</v>
      </c>
      <c r="H83" s="880"/>
      <c r="I83" s="125">
        <v>8500</v>
      </c>
      <c r="J83" s="768">
        <f>(G83+H83)*I83*F83</f>
        <v>833000</v>
      </c>
      <c r="K83" s="125">
        <f>3450*2.5</f>
        <v>8625</v>
      </c>
      <c r="L83" s="767">
        <f>K83*F83*G83</f>
        <v>845250</v>
      </c>
      <c r="M83" s="769">
        <f>3605*2</f>
        <v>7210</v>
      </c>
      <c r="N83" s="769">
        <f t="shared" ref="N83" si="96">M83*H83*F83</f>
        <v>0</v>
      </c>
      <c r="O83" s="129">
        <v>10000</v>
      </c>
      <c r="P83" s="129">
        <f t="shared" ref="P83" si="97">O83*H83*2</f>
        <v>0</v>
      </c>
      <c r="Q83" s="129"/>
      <c r="R83" s="769">
        <f>SUM(J83+L83+N83+P83)+Q83</f>
        <v>1678250</v>
      </c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773"/>
      <c r="AE83" s="773">
        <f t="shared" si="87"/>
        <v>1678250</v>
      </c>
    </row>
    <row r="84" spans="1:31" s="756" customFormat="1" ht="211.5">
      <c r="A84" s="129">
        <v>63</v>
      </c>
      <c r="B84" s="769">
        <v>8</v>
      </c>
      <c r="C84" s="807" t="s">
        <v>1011</v>
      </c>
      <c r="D84" s="761" t="s">
        <v>925</v>
      </c>
      <c r="E84" s="798" t="s">
        <v>904</v>
      </c>
      <c r="F84" s="125">
        <v>6</v>
      </c>
      <c r="G84" s="126">
        <v>8</v>
      </c>
      <c r="H84" s="880"/>
      <c r="I84" s="125"/>
      <c r="J84" s="126"/>
      <c r="K84" s="125"/>
      <c r="L84" s="125"/>
      <c r="M84" s="129"/>
      <c r="N84" s="129"/>
      <c r="O84" s="129"/>
      <c r="P84" s="129"/>
      <c r="Q84" s="129"/>
      <c r="R84" s="129"/>
      <c r="S84" s="798">
        <v>43500</v>
      </c>
      <c r="T84" s="767">
        <f t="shared" ref="T84:T85" si="98">S84*F84*(G84+H84)</f>
        <v>2088000</v>
      </c>
      <c r="U84" s="798">
        <v>43500</v>
      </c>
      <c r="V84" s="767">
        <f t="shared" ref="V84:V85" si="99">U84*F84*(G84+H84)</f>
        <v>2088000</v>
      </c>
      <c r="W84" s="798">
        <v>14000</v>
      </c>
      <c r="X84" s="767">
        <f t="shared" ref="X84:X85" si="100">W84*(G84+H84)</f>
        <v>112000</v>
      </c>
      <c r="Y84" s="798">
        <v>350000</v>
      </c>
      <c r="Z84" s="767">
        <f t="shared" ref="Z84:Z85" si="101">Y84*(G84+H84)</f>
        <v>2800000</v>
      </c>
      <c r="AA84" s="798"/>
      <c r="AB84" s="798"/>
      <c r="AC84" s="761"/>
      <c r="AD84" s="762">
        <f t="shared" ref="AD84:AD85" si="102">T84+V84+X84+Z84+AA84+AB84+AC84</f>
        <v>7088000</v>
      </c>
      <c r="AE84" s="773">
        <f t="shared" si="87"/>
        <v>7088000</v>
      </c>
    </row>
    <row r="85" spans="1:31" s="756" customFormat="1" ht="409.5">
      <c r="A85" s="129">
        <v>64</v>
      </c>
      <c r="B85" s="769">
        <v>9</v>
      </c>
      <c r="C85" s="807" t="s">
        <v>902</v>
      </c>
      <c r="D85" s="761" t="s">
        <v>1012</v>
      </c>
      <c r="E85" s="798" t="s">
        <v>1008</v>
      </c>
      <c r="F85" s="125">
        <v>4</v>
      </c>
      <c r="G85" s="126">
        <v>3</v>
      </c>
      <c r="H85" s="880"/>
      <c r="I85" s="125"/>
      <c r="J85" s="126"/>
      <c r="K85" s="125"/>
      <c r="L85" s="125"/>
      <c r="M85" s="129"/>
      <c r="N85" s="129"/>
      <c r="O85" s="129"/>
      <c r="P85" s="129"/>
      <c r="Q85" s="129"/>
      <c r="R85" s="129"/>
      <c r="S85" s="798">
        <v>15000</v>
      </c>
      <c r="T85" s="767">
        <f t="shared" si="98"/>
        <v>180000</v>
      </c>
      <c r="U85" s="798">
        <v>15000</v>
      </c>
      <c r="V85" s="767">
        <f t="shared" si="99"/>
        <v>180000</v>
      </c>
      <c r="W85" s="798">
        <v>14000</v>
      </c>
      <c r="X85" s="767">
        <f t="shared" si="100"/>
        <v>42000</v>
      </c>
      <c r="Y85" s="798">
        <v>20000</v>
      </c>
      <c r="Z85" s="767">
        <f t="shared" si="101"/>
        <v>60000</v>
      </c>
      <c r="AA85" s="798"/>
      <c r="AB85" s="798"/>
      <c r="AC85" s="761"/>
      <c r="AD85" s="762">
        <f t="shared" si="102"/>
        <v>462000</v>
      </c>
      <c r="AE85" s="773">
        <f t="shared" si="87"/>
        <v>462000</v>
      </c>
    </row>
    <row r="86" spans="1:31" s="756" customFormat="1" ht="76.5">
      <c r="A86" s="1661" t="s">
        <v>886</v>
      </c>
      <c r="B86" s="1661"/>
      <c r="C86" s="1661"/>
      <c r="D86" s="1661"/>
      <c r="E86" s="1661"/>
      <c r="F86" s="1661"/>
      <c r="G86" s="1661"/>
      <c r="H86" s="882"/>
      <c r="I86" s="870"/>
      <c r="J86" s="870">
        <f>SUM(J77:J85)</f>
        <v>2499000</v>
      </c>
      <c r="K86" s="870"/>
      <c r="L86" s="870">
        <f>SUM(L77:L85)</f>
        <v>2535750</v>
      </c>
      <c r="M86" s="870"/>
      <c r="N86" s="870">
        <f>SUM(N77:N85)</f>
        <v>0</v>
      </c>
      <c r="O86" s="869"/>
      <c r="P86" s="870">
        <f>SUM(P77:P85)</f>
        <v>0</v>
      </c>
      <c r="Q86" s="869"/>
      <c r="R86" s="870">
        <f>SUM(R77:R85)</f>
        <v>5034750</v>
      </c>
      <c r="S86" s="869"/>
      <c r="T86" s="870">
        <f>SUM(T77:T85)</f>
        <v>7623000</v>
      </c>
      <c r="U86" s="869"/>
      <c r="V86" s="870">
        <f>SUM(V77:V85)</f>
        <v>7623000</v>
      </c>
      <c r="W86" s="869"/>
      <c r="X86" s="870">
        <f>SUM(X77:X85)</f>
        <v>502600</v>
      </c>
      <c r="Y86" s="869"/>
      <c r="Z86" s="870">
        <f t="shared" ref="Z86:AA86" si="103">SUM(Z77:Z85)</f>
        <v>9620000</v>
      </c>
      <c r="AA86" s="870">
        <f t="shared" si="103"/>
        <v>550000</v>
      </c>
      <c r="AB86" s="870"/>
      <c r="AC86" s="870">
        <f t="shared" ref="AC86:AE86" si="104">SUM(AC77:AC85)</f>
        <v>254000</v>
      </c>
      <c r="AD86" s="870">
        <f t="shared" si="104"/>
        <v>26172600</v>
      </c>
      <c r="AE86" s="870">
        <f t="shared" si="104"/>
        <v>31207350</v>
      </c>
    </row>
    <row r="87" spans="1:31" s="756" customFormat="1" ht="76.5">
      <c r="A87" s="1736" t="s">
        <v>1013</v>
      </c>
      <c r="B87" s="1736"/>
      <c r="C87" s="1736"/>
      <c r="D87" s="1736"/>
      <c r="E87" s="1736"/>
      <c r="F87" s="1736"/>
      <c r="G87" s="1736"/>
      <c r="H87" s="1736"/>
      <c r="I87" s="1736"/>
      <c r="J87" s="1736"/>
      <c r="K87" s="1736"/>
      <c r="L87" s="1736"/>
      <c r="M87" s="1736"/>
      <c r="N87" s="1736"/>
      <c r="O87" s="1736"/>
      <c r="P87" s="1736"/>
      <c r="Q87" s="1736"/>
      <c r="R87" s="1736"/>
      <c r="S87" s="1736"/>
      <c r="T87" s="1736"/>
      <c r="U87" s="1736"/>
      <c r="V87" s="1736"/>
      <c r="W87" s="1736"/>
      <c r="X87" s="1736"/>
      <c r="Y87" s="1736"/>
      <c r="Z87" s="1736"/>
      <c r="AA87" s="1736"/>
      <c r="AB87" s="1736"/>
      <c r="AC87" s="1736"/>
      <c r="AD87" s="1736"/>
      <c r="AE87" s="1736"/>
    </row>
    <row r="88" spans="1:31" s="756" customFormat="1" ht="352.5">
      <c r="A88" s="769">
        <v>65</v>
      </c>
      <c r="B88" s="769">
        <v>1</v>
      </c>
      <c r="C88" s="795" t="s">
        <v>1014</v>
      </c>
      <c r="D88" s="761" t="s">
        <v>952</v>
      </c>
      <c r="E88" s="767" t="s">
        <v>1015</v>
      </c>
      <c r="F88" s="767">
        <v>14</v>
      </c>
      <c r="G88" s="768">
        <v>4</v>
      </c>
      <c r="H88" s="880"/>
      <c r="I88" s="767"/>
      <c r="J88" s="768"/>
      <c r="K88" s="767"/>
      <c r="L88" s="767"/>
      <c r="M88" s="769"/>
      <c r="N88" s="769"/>
      <c r="O88" s="769"/>
      <c r="P88" s="769"/>
      <c r="Q88" s="769"/>
      <c r="R88" s="769"/>
      <c r="S88" s="761">
        <v>25000</v>
      </c>
      <c r="T88" s="767">
        <f t="shared" ref="T88" si="105">S88*F88*(G88+H88)</f>
        <v>1400000</v>
      </c>
      <c r="U88" s="761">
        <v>20000</v>
      </c>
      <c r="V88" s="767">
        <f>U88*F88*(G88+H88)</f>
        <v>1120000</v>
      </c>
      <c r="W88" s="761">
        <v>14000</v>
      </c>
      <c r="X88" s="767">
        <f>W88*(G88+H88)</f>
        <v>56000</v>
      </c>
      <c r="Y88" s="761">
        <v>350000</v>
      </c>
      <c r="Z88" s="767">
        <f>Y88*(G88+H88)</f>
        <v>1400000</v>
      </c>
      <c r="AA88" s="761"/>
      <c r="AB88" s="761"/>
      <c r="AC88" s="761"/>
      <c r="AD88" s="762">
        <f>T88+V88+X88+Z88+AA88+AB88+AC88</f>
        <v>3976000</v>
      </c>
      <c r="AE88" s="762">
        <f>AD88+R88</f>
        <v>3976000</v>
      </c>
    </row>
    <row r="89" spans="1:31" s="756" customFormat="1" ht="409.5">
      <c r="A89" s="769">
        <v>66</v>
      </c>
      <c r="B89" s="769">
        <v>2</v>
      </c>
      <c r="C89" s="795" t="s">
        <v>1002</v>
      </c>
      <c r="D89" s="761" t="s">
        <v>918</v>
      </c>
      <c r="E89" s="767" t="s">
        <v>1016</v>
      </c>
      <c r="F89" s="791">
        <v>14</v>
      </c>
      <c r="G89" s="768">
        <v>8</v>
      </c>
      <c r="H89" s="880"/>
      <c r="I89" s="767"/>
      <c r="J89" s="768"/>
      <c r="K89" s="767">
        <f>3450*2.5</f>
        <v>8625</v>
      </c>
      <c r="L89" s="767">
        <f t="shared" ref="L89:L90" si="106">K89*F89*G89</f>
        <v>966000</v>
      </c>
      <c r="M89" s="769">
        <f>3605*2</f>
        <v>7210</v>
      </c>
      <c r="N89" s="769">
        <f t="shared" ref="N89:N90" si="107">M89*H89*F89</f>
        <v>0</v>
      </c>
      <c r="O89" s="769">
        <v>10000</v>
      </c>
      <c r="P89" s="129">
        <f t="shared" ref="P89:P90" si="108">O89*H89*2</f>
        <v>0</v>
      </c>
      <c r="Q89" s="769"/>
      <c r="R89" s="769">
        <f t="shared" ref="R89:R90" si="109">SUM(J89+L89+N89+P89)+Q89</f>
        <v>966000</v>
      </c>
      <c r="S89" s="769"/>
      <c r="T89" s="769"/>
      <c r="U89" s="769"/>
      <c r="V89" s="769"/>
      <c r="W89" s="769"/>
      <c r="X89" s="769"/>
      <c r="Y89" s="769"/>
      <c r="Z89" s="769"/>
      <c r="AA89" s="769"/>
      <c r="AB89" s="769"/>
      <c r="AC89" s="769"/>
      <c r="AD89" s="762"/>
      <c r="AE89" s="762">
        <f t="shared" ref="AE89:AE94" si="110">AD89+R89</f>
        <v>966000</v>
      </c>
    </row>
    <row r="90" spans="1:31" s="756" customFormat="1" ht="352.5">
      <c r="A90" s="769">
        <v>67</v>
      </c>
      <c r="B90" s="769">
        <v>3</v>
      </c>
      <c r="C90" s="795" t="s">
        <v>1017</v>
      </c>
      <c r="D90" s="761" t="s">
        <v>1018</v>
      </c>
      <c r="E90" s="767" t="s">
        <v>1016</v>
      </c>
      <c r="F90" s="791">
        <v>14</v>
      </c>
      <c r="G90" s="768">
        <v>6</v>
      </c>
      <c r="H90" s="880"/>
      <c r="I90" s="767"/>
      <c r="J90" s="768"/>
      <c r="K90" s="767">
        <f>3450*2.5</f>
        <v>8625</v>
      </c>
      <c r="L90" s="767">
        <f t="shared" si="106"/>
        <v>724500</v>
      </c>
      <c r="M90" s="769">
        <f>3605*2</f>
        <v>7210</v>
      </c>
      <c r="N90" s="769">
        <f t="shared" si="107"/>
        <v>0</v>
      </c>
      <c r="O90" s="769">
        <v>10000</v>
      </c>
      <c r="P90" s="129">
        <f t="shared" si="108"/>
        <v>0</v>
      </c>
      <c r="Q90" s="769"/>
      <c r="R90" s="769">
        <f t="shared" si="109"/>
        <v>724500</v>
      </c>
      <c r="S90" s="769"/>
      <c r="T90" s="769"/>
      <c r="U90" s="769"/>
      <c r="V90" s="769"/>
      <c r="W90" s="769"/>
      <c r="X90" s="769"/>
      <c r="Y90" s="769"/>
      <c r="Z90" s="769"/>
      <c r="AA90" s="769"/>
      <c r="AB90" s="769"/>
      <c r="AC90" s="769"/>
      <c r="AD90" s="762"/>
      <c r="AE90" s="762">
        <f t="shared" si="110"/>
        <v>724500</v>
      </c>
    </row>
    <row r="91" spans="1:31" s="756" customFormat="1" ht="211.5">
      <c r="A91" s="769">
        <v>68</v>
      </c>
      <c r="B91" s="769">
        <v>4</v>
      </c>
      <c r="C91" s="795" t="s">
        <v>902</v>
      </c>
      <c r="D91" s="761" t="s">
        <v>906</v>
      </c>
      <c r="E91" s="767" t="s">
        <v>353</v>
      </c>
      <c r="F91" s="767">
        <v>6</v>
      </c>
      <c r="G91" s="768">
        <v>3</v>
      </c>
      <c r="H91" s="880"/>
      <c r="I91" s="767"/>
      <c r="J91" s="768"/>
      <c r="K91" s="767"/>
      <c r="L91" s="767"/>
      <c r="M91" s="769"/>
      <c r="N91" s="769"/>
      <c r="O91" s="769"/>
      <c r="P91" s="769"/>
      <c r="Q91" s="769"/>
      <c r="R91" s="769"/>
      <c r="S91" s="761">
        <v>25000</v>
      </c>
      <c r="T91" s="767">
        <f t="shared" ref="T91" si="111">S91*F91*(G91+H91)</f>
        <v>450000</v>
      </c>
      <c r="U91" s="761">
        <v>20000</v>
      </c>
      <c r="V91" s="767">
        <f>U91*F91*(G91+H91)</f>
        <v>360000</v>
      </c>
      <c r="W91" s="761">
        <v>14000</v>
      </c>
      <c r="X91" s="767">
        <f>W91*(G91+H91)</f>
        <v>42000</v>
      </c>
      <c r="Y91" s="761">
        <v>350000</v>
      </c>
      <c r="Z91" s="767">
        <f>Y91*(G91+H91)</f>
        <v>1050000</v>
      </c>
      <c r="AA91" s="761">
        <f t="shared" ref="AA91" si="112">55000*(G91+H91)</f>
        <v>165000</v>
      </c>
      <c r="AB91" s="761"/>
      <c r="AC91" s="761"/>
      <c r="AD91" s="762">
        <f>T91+V91+X91+Z91+AA91+AB91+AC91</f>
        <v>2067000</v>
      </c>
      <c r="AE91" s="762">
        <f t="shared" si="110"/>
        <v>2067000</v>
      </c>
    </row>
    <row r="92" spans="1:31" s="756" customFormat="1" ht="409.5">
      <c r="A92" s="769">
        <v>69</v>
      </c>
      <c r="B92" s="769">
        <v>5</v>
      </c>
      <c r="C92" s="795" t="s">
        <v>1019</v>
      </c>
      <c r="D92" s="761" t="s">
        <v>912</v>
      </c>
      <c r="E92" s="767" t="s">
        <v>1004</v>
      </c>
      <c r="F92" s="791">
        <v>14</v>
      </c>
      <c r="G92" s="768">
        <v>9</v>
      </c>
      <c r="H92" s="880"/>
      <c r="I92" s="767">
        <v>8500</v>
      </c>
      <c r="J92" s="768">
        <f>(G92+H92)*I92*F92</f>
        <v>1071000</v>
      </c>
      <c r="K92" s="767">
        <f>3450*2.5</f>
        <v>8625</v>
      </c>
      <c r="L92" s="767">
        <f>K92*F92*G92</f>
        <v>1086750</v>
      </c>
      <c r="M92" s="769">
        <f>3605*2</f>
        <v>7210</v>
      </c>
      <c r="N92" s="769">
        <f t="shared" ref="N92" si="113">M92*H92*F92</f>
        <v>0</v>
      </c>
      <c r="O92" s="769">
        <v>10000</v>
      </c>
      <c r="P92" s="129">
        <f t="shared" ref="P92" si="114">O92*H92*2</f>
        <v>0</v>
      </c>
      <c r="Q92" s="769"/>
      <c r="R92" s="769">
        <f>SUM(J92+L92+N92+P92)+Q92</f>
        <v>2157750</v>
      </c>
      <c r="S92" s="769"/>
      <c r="T92" s="769"/>
      <c r="U92" s="769"/>
      <c r="V92" s="769"/>
      <c r="W92" s="769"/>
      <c r="X92" s="769"/>
      <c r="Y92" s="769"/>
      <c r="Z92" s="769"/>
      <c r="AA92" s="769"/>
      <c r="AB92" s="769"/>
      <c r="AC92" s="769"/>
      <c r="AD92" s="762"/>
      <c r="AE92" s="762">
        <f t="shared" si="110"/>
        <v>2157750</v>
      </c>
    </row>
    <row r="93" spans="1:31" s="756" customFormat="1" ht="211.5">
      <c r="A93" s="769">
        <v>70</v>
      </c>
      <c r="B93" s="769">
        <v>6</v>
      </c>
      <c r="C93" s="795" t="s">
        <v>1020</v>
      </c>
      <c r="D93" s="761" t="s">
        <v>912</v>
      </c>
      <c r="E93" s="767" t="s">
        <v>910</v>
      </c>
      <c r="F93" s="125">
        <v>7</v>
      </c>
      <c r="G93" s="126">
        <v>9</v>
      </c>
      <c r="H93" s="880"/>
      <c r="I93" s="125"/>
      <c r="J93" s="126"/>
      <c r="K93" s="125"/>
      <c r="L93" s="125"/>
      <c r="M93" s="129"/>
      <c r="N93" s="129"/>
      <c r="O93" s="129"/>
      <c r="P93" s="129"/>
      <c r="Q93" s="129"/>
      <c r="R93" s="129"/>
      <c r="S93" s="798">
        <v>43500</v>
      </c>
      <c r="T93" s="767">
        <f t="shared" ref="T93" si="115">S93*F93*(G93+H93)</f>
        <v>2740500</v>
      </c>
      <c r="U93" s="798">
        <v>43500</v>
      </c>
      <c r="V93" s="767">
        <f>U93*F93*(G93+H93)</f>
        <v>2740500</v>
      </c>
      <c r="W93" s="798">
        <v>14700</v>
      </c>
      <c r="X93" s="767">
        <f>W93*(G93+H93)</f>
        <v>132300</v>
      </c>
      <c r="Y93" s="798">
        <v>450000</v>
      </c>
      <c r="Z93" s="767">
        <f>Y93*(G93+H93)</f>
        <v>4050000</v>
      </c>
      <c r="AA93" s="761">
        <f t="shared" ref="AA93" si="116">55000*(G93+H93)</f>
        <v>495000</v>
      </c>
      <c r="AB93" s="798"/>
      <c r="AC93" s="761"/>
      <c r="AD93" s="762">
        <f>T93+V93+X93+Z93+AA93+AB93+AC93</f>
        <v>10158300</v>
      </c>
      <c r="AE93" s="762">
        <f t="shared" si="110"/>
        <v>10158300</v>
      </c>
    </row>
    <row r="94" spans="1:31" s="756" customFormat="1" ht="409.5">
      <c r="A94" s="769">
        <v>71</v>
      </c>
      <c r="B94" s="769">
        <v>7</v>
      </c>
      <c r="C94" s="795" t="s">
        <v>1021</v>
      </c>
      <c r="D94" s="761" t="s">
        <v>1022</v>
      </c>
      <c r="E94" s="767" t="s">
        <v>1004</v>
      </c>
      <c r="F94" s="791">
        <v>18</v>
      </c>
      <c r="G94" s="768">
        <v>7</v>
      </c>
      <c r="H94" s="880"/>
      <c r="I94" s="767">
        <v>8500</v>
      </c>
      <c r="J94" s="768">
        <f>(G94+H94)*I94*F94</f>
        <v>1071000</v>
      </c>
      <c r="K94" s="767">
        <f>3450*2.5</f>
        <v>8625</v>
      </c>
      <c r="L94" s="767">
        <f>K94*F94*G94</f>
        <v>1086750</v>
      </c>
      <c r="M94" s="769">
        <f>3605*2</f>
        <v>7210</v>
      </c>
      <c r="N94" s="769">
        <f t="shared" ref="N94" si="117">M94*H94*F94</f>
        <v>0</v>
      </c>
      <c r="O94" s="769">
        <v>10000</v>
      </c>
      <c r="P94" s="129">
        <f t="shared" ref="P94" si="118">O94*H94*2</f>
        <v>0</v>
      </c>
      <c r="Q94" s="769"/>
      <c r="R94" s="769">
        <f>SUM(J94+L94+N94+P94)+Q94</f>
        <v>2157750</v>
      </c>
      <c r="S94" s="769"/>
      <c r="T94" s="769"/>
      <c r="U94" s="769"/>
      <c r="V94" s="769"/>
      <c r="W94" s="769"/>
      <c r="X94" s="769"/>
      <c r="Y94" s="769"/>
      <c r="Z94" s="769"/>
      <c r="AA94" s="769"/>
      <c r="AB94" s="769"/>
      <c r="AC94" s="769"/>
      <c r="AD94" s="762"/>
      <c r="AE94" s="762">
        <f t="shared" si="110"/>
        <v>2157750</v>
      </c>
    </row>
    <row r="95" spans="1:31" s="756" customFormat="1" ht="211.5">
      <c r="A95" s="769">
        <v>72</v>
      </c>
      <c r="B95" s="768">
        <v>8</v>
      </c>
      <c r="C95" s="795" t="s">
        <v>1023</v>
      </c>
      <c r="D95" s="761" t="s">
        <v>1024</v>
      </c>
      <c r="E95" s="767" t="s">
        <v>927</v>
      </c>
      <c r="F95" s="767">
        <v>7</v>
      </c>
      <c r="G95" s="768">
        <v>9</v>
      </c>
      <c r="H95" s="880"/>
      <c r="I95" s="767"/>
      <c r="J95" s="768"/>
      <c r="K95" s="767"/>
      <c r="L95" s="767"/>
      <c r="M95" s="769"/>
      <c r="N95" s="769"/>
      <c r="O95" s="769"/>
      <c r="P95" s="769"/>
      <c r="Q95" s="769"/>
      <c r="R95" s="769"/>
      <c r="S95" s="761">
        <v>43500</v>
      </c>
      <c r="T95" s="767">
        <f t="shared" ref="T95" si="119">S95*F95*(G95+H95)</f>
        <v>2740500</v>
      </c>
      <c r="U95" s="761">
        <v>43500</v>
      </c>
      <c r="V95" s="767">
        <f>U95*F95*(G95+H95)</f>
        <v>2740500</v>
      </c>
      <c r="W95" s="761">
        <v>18500</v>
      </c>
      <c r="X95" s="767">
        <f>W95*(G95+H95)</f>
        <v>166500</v>
      </c>
      <c r="Y95" s="761">
        <v>450000</v>
      </c>
      <c r="Z95" s="767">
        <f>Y95*(G95+H95)</f>
        <v>4050000</v>
      </c>
      <c r="AA95" s="761">
        <f t="shared" ref="AA95" si="120">55000*(G95+H95)</f>
        <v>495000</v>
      </c>
      <c r="AB95" s="761"/>
      <c r="AC95" s="761">
        <f>45000*G95</f>
        <v>405000</v>
      </c>
      <c r="AD95" s="762">
        <f>T95+V95+X95+Z95+AA95+AB95+AC95</f>
        <v>10597500</v>
      </c>
      <c r="AE95" s="762">
        <f>AD95+R95</f>
        <v>10597500</v>
      </c>
    </row>
    <row r="96" spans="1:31" s="756" customFormat="1" ht="76.5">
      <c r="A96" s="1661" t="s">
        <v>886</v>
      </c>
      <c r="B96" s="1661"/>
      <c r="C96" s="1661"/>
      <c r="D96" s="1661"/>
      <c r="E96" s="1661"/>
      <c r="F96" s="1661"/>
      <c r="G96" s="1661"/>
      <c r="H96" s="1661"/>
      <c r="I96" s="870"/>
      <c r="J96" s="870">
        <f>SUM(J88:J95)</f>
        <v>2142000</v>
      </c>
      <c r="K96" s="870"/>
      <c r="L96" s="870">
        <f>SUM(L88:L95)</f>
        <v>3864000</v>
      </c>
      <c r="M96" s="870"/>
      <c r="N96" s="870">
        <f>SUM(N88:N95)</f>
        <v>0</v>
      </c>
      <c r="O96" s="869"/>
      <c r="P96" s="870">
        <f>SUM(P88:P95)</f>
        <v>0</v>
      </c>
      <c r="Q96" s="869"/>
      <c r="R96" s="870">
        <f>SUM(R88:R95)</f>
        <v>6006000</v>
      </c>
      <c r="S96" s="869"/>
      <c r="T96" s="870">
        <f>SUM(T88:T95)</f>
        <v>7331000</v>
      </c>
      <c r="U96" s="869"/>
      <c r="V96" s="870">
        <f>SUM(V88:V95)</f>
        <v>6961000</v>
      </c>
      <c r="W96" s="869"/>
      <c r="X96" s="870">
        <f>SUM(X88:X95)</f>
        <v>396800</v>
      </c>
      <c r="Y96" s="869"/>
      <c r="Z96" s="870">
        <f t="shared" ref="Z96:AA96" si="121">SUM(Z88:Z95)</f>
        <v>10550000</v>
      </c>
      <c r="AA96" s="870">
        <f t="shared" si="121"/>
        <v>1155000</v>
      </c>
      <c r="AB96" s="870"/>
      <c r="AC96" s="870">
        <f t="shared" ref="AC96:AE96" si="122">SUM(AC88:AC95)</f>
        <v>405000</v>
      </c>
      <c r="AD96" s="870">
        <f t="shared" si="122"/>
        <v>26798800</v>
      </c>
      <c r="AE96" s="870">
        <f t="shared" si="122"/>
        <v>32804800</v>
      </c>
    </row>
    <row r="97" spans="1:39" s="756" customFormat="1" ht="76.5">
      <c r="A97" s="1736" t="s">
        <v>1025</v>
      </c>
      <c r="B97" s="1736"/>
      <c r="C97" s="1736"/>
      <c r="D97" s="1736"/>
      <c r="E97" s="1736"/>
      <c r="F97" s="1736"/>
      <c r="G97" s="1736"/>
      <c r="H97" s="1736"/>
      <c r="I97" s="1736"/>
      <c r="J97" s="1736"/>
      <c r="K97" s="1736"/>
      <c r="L97" s="1736"/>
      <c r="M97" s="1736"/>
      <c r="N97" s="1736"/>
      <c r="O97" s="1736"/>
      <c r="P97" s="1736"/>
      <c r="Q97" s="1736"/>
      <c r="R97" s="1736"/>
      <c r="S97" s="1736"/>
      <c r="T97" s="1736"/>
      <c r="U97" s="1736"/>
      <c r="V97" s="1736"/>
      <c r="W97" s="1736"/>
      <c r="X97" s="1736"/>
      <c r="Y97" s="1736"/>
      <c r="Z97" s="1736"/>
      <c r="AA97" s="1736"/>
      <c r="AB97" s="1736"/>
      <c r="AC97" s="1736"/>
      <c r="AD97" s="1736"/>
      <c r="AE97" s="1736"/>
    </row>
    <row r="98" spans="1:39" s="756" customFormat="1" ht="409.5">
      <c r="A98" s="129">
        <v>83</v>
      </c>
      <c r="B98" s="810">
        <v>1</v>
      </c>
      <c r="C98" s="795" t="s">
        <v>1069</v>
      </c>
      <c r="D98" s="767" t="s">
        <v>930</v>
      </c>
      <c r="E98" s="767" t="s">
        <v>1028</v>
      </c>
      <c r="F98" s="125">
        <v>18</v>
      </c>
      <c r="G98" s="809">
        <v>12</v>
      </c>
      <c r="H98" s="883"/>
      <c r="I98" s="125">
        <v>8500</v>
      </c>
      <c r="J98" s="768">
        <f t="shared" ref="J98" si="123">(G98+H98)*I98*F98</f>
        <v>1836000</v>
      </c>
      <c r="K98" s="125">
        <v>8625</v>
      </c>
      <c r="L98" s="767">
        <f t="shared" ref="L98" si="124">K98*F98*G98</f>
        <v>1863000</v>
      </c>
      <c r="M98" s="769">
        <f>3605*2</f>
        <v>7210</v>
      </c>
      <c r="N98" s="769">
        <f t="shared" ref="N98:N99" si="125">M98*H98*F98</f>
        <v>0</v>
      </c>
      <c r="O98" s="129">
        <v>10000</v>
      </c>
      <c r="P98" s="129">
        <f t="shared" ref="P98:P99" si="126">O98*H98*2</f>
        <v>0</v>
      </c>
      <c r="Q98" s="811"/>
      <c r="R98" s="769">
        <f>SUM(J98+L98+N98+P98)+Q98</f>
        <v>3699000</v>
      </c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769"/>
      <c r="AE98" s="782">
        <f>R98+AD98</f>
        <v>3699000</v>
      </c>
    </row>
    <row r="99" spans="1:39" s="756" customFormat="1" ht="409.5">
      <c r="A99" s="769">
        <v>73</v>
      </c>
      <c r="B99" s="810">
        <v>2</v>
      </c>
      <c r="C99" s="795" t="s">
        <v>1026</v>
      </c>
      <c r="D99" s="767" t="s">
        <v>1027</v>
      </c>
      <c r="E99" s="125" t="s">
        <v>1028</v>
      </c>
      <c r="F99" s="125">
        <v>14</v>
      </c>
      <c r="G99" s="809">
        <v>7</v>
      </c>
      <c r="H99" s="883"/>
      <c r="I99" s="125">
        <v>8500</v>
      </c>
      <c r="J99" s="768">
        <f>(G99+H99)*I99*F99</f>
        <v>833000</v>
      </c>
      <c r="K99" s="125">
        <v>8625</v>
      </c>
      <c r="L99" s="767">
        <f>K99*F99*G99</f>
        <v>845250</v>
      </c>
      <c r="M99" s="769">
        <f>3605*2</f>
        <v>7210</v>
      </c>
      <c r="N99" s="769">
        <f t="shared" si="125"/>
        <v>0</v>
      </c>
      <c r="O99" s="129">
        <v>10000</v>
      </c>
      <c r="P99" s="129">
        <f t="shared" si="126"/>
        <v>0</v>
      </c>
      <c r="Q99" s="811"/>
      <c r="R99" s="769">
        <f>SUM(J99+L99+N99+P99)+Q99</f>
        <v>1678250</v>
      </c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769"/>
      <c r="AE99" s="762">
        <f>AD99+R99</f>
        <v>1678250</v>
      </c>
    </row>
    <row r="100" spans="1:39" s="756" customFormat="1" ht="409.5">
      <c r="A100" s="769">
        <v>74</v>
      </c>
      <c r="B100" s="810">
        <v>3</v>
      </c>
      <c r="C100" s="795" t="s">
        <v>1029</v>
      </c>
      <c r="D100" s="767" t="s">
        <v>1030</v>
      </c>
      <c r="E100" s="767" t="s">
        <v>1031</v>
      </c>
      <c r="F100" s="767">
        <v>14</v>
      </c>
      <c r="G100" s="783">
        <v>5</v>
      </c>
      <c r="H100" s="883"/>
      <c r="I100" s="767"/>
      <c r="J100" s="768"/>
      <c r="K100" s="767"/>
      <c r="L100" s="785"/>
      <c r="M100" s="769"/>
      <c r="N100" s="786"/>
      <c r="O100" s="769"/>
      <c r="P100" s="786"/>
      <c r="Q100" s="785"/>
      <c r="R100" s="786"/>
      <c r="S100" s="126">
        <v>17500</v>
      </c>
      <c r="T100" s="767">
        <f t="shared" ref="T100" si="127">S100*F100*(G100+H100)</f>
        <v>1225000</v>
      </c>
      <c r="U100" s="126">
        <v>17500</v>
      </c>
      <c r="V100" s="767">
        <f>U100*F100*(G100+H100)</f>
        <v>1225000</v>
      </c>
      <c r="W100" s="125">
        <v>34100</v>
      </c>
      <c r="X100" s="767">
        <f>W100*(G100+H100)</f>
        <v>170500</v>
      </c>
      <c r="Y100" s="812">
        <v>350000</v>
      </c>
      <c r="Z100" s="767">
        <f>Y100*(G100+H100)</f>
        <v>1750000</v>
      </c>
      <c r="AA100" s="761">
        <f t="shared" ref="AA100" si="128">55000*(G100+H100)</f>
        <v>275000</v>
      </c>
      <c r="AB100" s="125"/>
      <c r="AC100" s="761">
        <f>45000*G100</f>
        <v>225000</v>
      </c>
      <c r="AD100" s="762">
        <f>T100+V100+X100+Z100+AA100+AB100+AC100</f>
        <v>4870500</v>
      </c>
      <c r="AE100" s="762">
        <f t="shared" ref="AE100:AE108" si="129">AD100+R100</f>
        <v>4870500</v>
      </c>
    </row>
    <row r="101" spans="1:39" s="756" customFormat="1" ht="409.5">
      <c r="A101" s="769">
        <v>75</v>
      </c>
      <c r="B101" s="810">
        <v>4</v>
      </c>
      <c r="C101" s="813" t="s">
        <v>905</v>
      </c>
      <c r="D101" s="767" t="s">
        <v>1032</v>
      </c>
      <c r="E101" s="125" t="s">
        <v>1028</v>
      </c>
      <c r="F101" s="125">
        <v>14</v>
      </c>
      <c r="G101" s="809">
        <v>8</v>
      </c>
      <c r="H101" s="883"/>
      <c r="I101" s="125">
        <v>8500</v>
      </c>
      <c r="J101" s="768">
        <f t="shared" ref="J101:J102" si="130">(G101+H101)*I101*F101</f>
        <v>952000</v>
      </c>
      <c r="K101" s="125">
        <v>8625</v>
      </c>
      <c r="L101" s="767">
        <f t="shared" ref="L101:L102" si="131">K101*F101*G101</f>
        <v>966000</v>
      </c>
      <c r="M101" s="769">
        <f>3605*2</f>
        <v>7210</v>
      </c>
      <c r="N101" s="769">
        <f t="shared" ref="N101:N102" si="132">M101*H101*F101</f>
        <v>0</v>
      </c>
      <c r="O101" s="129">
        <v>10000</v>
      </c>
      <c r="P101" s="129">
        <f t="shared" ref="P101:P102" si="133">O101*H101*2</f>
        <v>0</v>
      </c>
      <c r="Q101" s="811"/>
      <c r="R101" s="769">
        <f t="shared" ref="R101:R102" si="134">SUM(J101+L101+N101+P101)+Q101</f>
        <v>1918000</v>
      </c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769"/>
      <c r="AE101" s="762">
        <f t="shared" si="129"/>
        <v>1918000</v>
      </c>
    </row>
    <row r="102" spans="1:39" s="756" customFormat="1" ht="409.5">
      <c r="A102" s="769">
        <v>76</v>
      </c>
      <c r="B102" s="810">
        <v>5</v>
      </c>
      <c r="C102" s="813" t="s">
        <v>1033</v>
      </c>
      <c r="D102" s="767" t="s">
        <v>923</v>
      </c>
      <c r="E102" s="125" t="s">
        <v>1028</v>
      </c>
      <c r="F102" s="125">
        <v>14</v>
      </c>
      <c r="G102" s="809">
        <v>8</v>
      </c>
      <c r="H102" s="883"/>
      <c r="I102" s="125">
        <v>8500</v>
      </c>
      <c r="J102" s="768">
        <f t="shared" si="130"/>
        <v>952000</v>
      </c>
      <c r="K102" s="125">
        <v>8625</v>
      </c>
      <c r="L102" s="767">
        <f t="shared" si="131"/>
        <v>966000</v>
      </c>
      <c r="M102" s="769">
        <f>3605*2</f>
        <v>7210</v>
      </c>
      <c r="N102" s="769">
        <f t="shared" si="132"/>
        <v>0</v>
      </c>
      <c r="O102" s="129">
        <v>10000</v>
      </c>
      <c r="P102" s="129">
        <f t="shared" si="133"/>
        <v>0</v>
      </c>
      <c r="Q102" s="811"/>
      <c r="R102" s="769">
        <f t="shared" si="134"/>
        <v>1918000</v>
      </c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769"/>
      <c r="AE102" s="762">
        <f t="shared" si="129"/>
        <v>1918000</v>
      </c>
    </row>
    <row r="103" spans="1:39" s="756" customFormat="1" ht="282">
      <c r="A103" s="769">
        <v>77</v>
      </c>
      <c r="B103" s="810">
        <v>6</v>
      </c>
      <c r="C103" s="813" t="s">
        <v>1034</v>
      </c>
      <c r="D103" s="125" t="s">
        <v>1035</v>
      </c>
      <c r="E103" s="767" t="s">
        <v>1036</v>
      </c>
      <c r="F103" s="125">
        <v>7</v>
      </c>
      <c r="G103" s="809">
        <v>8</v>
      </c>
      <c r="H103" s="883"/>
      <c r="I103" s="125"/>
      <c r="J103" s="126"/>
      <c r="K103" s="125"/>
      <c r="L103" s="125"/>
      <c r="M103" s="129"/>
      <c r="N103" s="129"/>
      <c r="O103" s="129"/>
      <c r="P103" s="129"/>
      <c r="Q103" s="811"/>
      <c r="R103" s="769"/>
      <c r="S103" s="787">
        <v>43500</v>
      </c>
      <c r="T103" s="767">
        <f t="shared" ref="T103" si="135">S103*F103*(G103+H103)</f>
        <v>2436000</v>
      </c>
      <c r="U103" s="787">
        <v>43500</v>
      </c>
      <c r="V103" s="767">
        <f>U103*F103*(G103+H103)</f>
        <v>2436000</v>
      </c>
      <c r="W103" s="787">
        <v>14700</v>
      </c>
      <c r="X103" s="767">
        <f>W103*(G103+H103)</f>
        <v>117600</v>
      </c>
      <c r="Y103" s="788">
        <v>450000</v>
      </c>
      <c r="Z103" s="767">
        <f>Y103*(G103+H103)</f>
        <v>3600000</v>
      </c>
      <c r="AA103" s="761">
        <f t="shared" ref="AA103" si="136">55000*(G103+H103)</f>
        <v>440000</v>
      </c>
      <c r="AB103" s="787"/>
      <c r="AC103" s="761">
        <f>45000*G103</f>
        <v>360000</v>
      </c>
      <c r="AD103" s="762">
        <f>T103+V103+X103+Z103+AA103+AB103+AC103</f>
        <v>9389600</v>
      </c>
      <c r="AE103" s="762">
        <f t="shared" si="129"/>
        <v>9389600</v>
      </c>
    </row>
    <row r="104" spans="1:39" s="756" customFormat="1" ht="409.5">
      <c r="A104" s="769">
        <v>78</v>
      </c>
      <c r="B104" s="810">
        <v>7</v>
      </c>
      <c r="C104" s="813" t="s">
        <v>1037</v>
      </c>
      <c r="D104" s="767" t="s">
        <v>1038</v>
      </c>
      <c r="E104" s="125" t="s">
        <v>1028</v>
      </c>
      <c r="F104" s="125">
        <v>14</v>
      </c>
      <c r="G104" s="809">
        <v>8</v>
      </c>
      <c r="H104" s="883"/>
      <c r="I104" s="125">
        <v>8500</v>
      </c>
      <c r="J104" s="768">
        <f t="shared" ref="J104:J105" si="137">(G104+H104)*I104*F104</f>
        <v>952000</v>
      </c>
      <c r="K104" s="125">
        <v>8625</v>
      </c>
      <c r="L104" s="767">
        <f t="shared" ref="L104:L105" si="138">K104*F104*G104</f>
        <v>966000</v>
      </c>
      <c r="M104" s="769">
        <f>3605*2</f>
        <v>7210</v>
      </c>
      <c r="N104" s="769">
        <f t="shared" ref="N104:N105" si="139">M104*H104*F104</f>
        <v>0</v>
      </c>
      <c r="O104" s="129">
        <v>10000</v>
      </c>
      <c r="P104" s="129">
        <f t="shared" ref="P104:P105" si="140">O104*H104*2</f>
        <v>0</v>
      </c>
      <c r="Q104" s="811"/>
      <c r="R104" s="769">
        <f t="shared" ref="R104:R105" si="141">SUM(J104+L104+N104+P104)+Q104</f>
        <v>1918000</v>
      </c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769"/>
      <c r="AE104" s="762">
        <f t="shared" si="129"/>
        <v>1918000</v>
      </c>
    </row>
    <row r="105" spans="1:39" s="756" customFormat="1" ht="409.5">
      <c r="A105" s="769">
        <v>79</v>
      </c>
      <c r="B105" s="810">
        <v>8</v>
      </c>
      <c r="C105" s="813" t="s">
        <v>1039</v>
      </c>
      <c r="D105" s="767" t="s">
        <v>925</v>
      </c>
      <c r="E105" s="125" t="s">
        <v>1028</v>
      </c>
      <c r="F105" s="125">
        <v>14</v>
      </c>
      <c r="G105" s="809">
        <v>8</v>
      </c>
      <c r="H105" s="883"/>
      <c r="I105" s="125">
        <v>8500</v>
      </c>
      <c r="J105" s="768">
        <f t="shared" si="137"/>
        <v>952000</v>
      </c>
      <c r="K105" s="125">
        <v>8625</v>
      </c>
      <c r="L105" s="767">
        <f t="shared" si="138"/>
        <v>966000</v>
      </c>
      <c r="M105" s="769">
        <f>3605*2</f>
        <v>7210</v>
      </c>
      <c r="N105" s="769">
        <f t="shared" si="139"/>
        <v>0</v>
      </c>
      <c r="O105" s="129">
        <v>10000</v>
      </c>
      <c r="P105" s="129">
        <f t="shared" si="140"/>
        <v>0</v>
      </c>
      <c r="Q105" s="811"/>
      <c r="R105" s="769">
        <f t="shared" si="141"/>
        <v>1918000</v>
      </c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769"/>
      <c r="AE105" s="762">
        <f>AD105+R105</f>
        <v>1918000</v>
      </c>
    </row>
    <row r="106" spans="1:39" s="756" customFormat="1" ht="409.5">
      <c r="A106" s="769">
        <v>80</v>
      </c>
      <c r="B106" s="810">
        <v>9</v>
      </c>
      <c r="C106" s="813" t="s">
        <v>914</v>
      </c>
      <c r="D106" s="767" t="s">
        <v>1040</v>
      </c>
      <c r="E106" s="767" t="s">
        <v>927</v>
      </c>
      <c r="F106" s="125">
        <v>7</v>
      </c>
      <c r="G106" s="809">
        <v>5</v>
      </c>
      <c r="H106" s="883"/>
      <c r="I106" s="125"/>
      <c r="J106" s="126"/>
      <c r="K106" s="125"/>
      <c r="L106" s="125"/>
      <c r="M106" s="129"/>
      <c r="N106" s="129"/>
      <c r="O106" s="129"/>
      <c r="P106" s="129"/>
      <c r="Q106" s="811"/>
      <c r="R106" s="769"/>
      <c r="S106" s="787">
        <v>43500</v>
      </c>
      <c r="T106" s="767">
        <f t="shared" ref="T106" si="142">S106*F106*(G106+H106)</f>
        <v>1522500</v>
      </c>
      <c r="U106" s="787">
        <v>43500</v>
      </c>
      <c r="V106" s="767">
        <f>U106*F106*(G106+H106)</f>
        <v>1522500</v>
      </c>
      <c r="W106" s="787">
        <v>18500</v>
      </c>
      <c r="X106" s="767">
        <f>W106*(G106+H106)</f>
        <v>92500</v>
      </c>
      <c r="Y106" s="788">
        <v>450000</v>
      </c>
      <c r="Z106" s="767">
        <f>Y106*(G106+H106)</f>
        <v>2250000</v>
      </c>
      <c r="AA106" s="761">
        <f t="shared" ref="AA106" si="143">55000*(G106+H106)</f>
        <v>275000</v>
      </c>
      <c r="AB106" s="787"/>
      <c r="AC106" s="761">
        <f>45000*G106</f>
        <v>225000</v>
      </c>
      <c r="AD106" s="762">
        <f>T106+V106+X106+Z106+AA106+AB106+AC106</f>
        <v>5887500</v>
      </c>
      <c r="AE106" s="762">
        <f t="shared" si="129"/>
        <v>5887500</v>
      </c>
    </row>
    <row r="107" spans="1:39" s="756" customFormat="1" ht="409.5">
      <c r="A107" s="769">
        <v>81</v>
      </c>
      <c r="B107" s="810">
        <v>10</v>
      </c>
      <c r="C107" s="795" t="s">
        <v>1041</v>
      </c>
      <c r="D107" s="767" t="s">
        <v>1042</v>
      </c>
      <c r="E107" s="125" t="s">
        <v>1028</v>
      </c>
      <c r="F107" s="125">
        <v>14</v>
      </c>
      <c r="G107" s="809">
        <v>6</v>
      </c>
      <c r="H107" s="883"/>
      <c r="I107" s="125">
        <v>8500</v>
      </c>
      <c r="J107" s="768">
        <f>(G107+H107)*I107*F107</f>
        <v>714000</v>
      </c>
      <c r="K107" s="125">
        <v>8625</v>
      </c>
      <c r="L107" s="767">
        <f>K107*F107*G107</f>
        <v>724500</v>
      </c>
      <c r="M107" s="769">
        <f>3605*2</f>
        <v>7210</v>
      </c>
      <c r="N107" s="769">
        <f t="shared" ref="N107" si="144">M107*H107*F107</f>
        <v>0</v>
      </c>
      <c r="O107" s="129">
        <v>10000</v>
      </c>
      <c r="P107" s="129">
        <f t="shared" ref="P107" si="145">O107*H107*2</f>
        <v>0</v>
      </c>
      <c r="Q107" s="811"/>
      <c r="R107" s="769">
        <f>SUM(J107+L107+N107+P107)+Q107</f>
        <v>1438500</v>
      </c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769"/>
      <c r="AE107" s="762">
        <f t="shared" si="129"/>
        <v>1438500</v>
      </c>
    </row>
    <row r="108" spans="1:39" s="756" customFormat="1" ht="352.5">
      <c r="A108" s="769">
        <v>82</v>
      </c>
      <c r="B108" s="810">
        <v>11</v>
      </c>
      <c r="C108" s="795" t="s">
        <v>902</v>
      </c>
      <c r="D108" s="767" t="s">
        <v>1043</v>
      </c>
      <c r="E108" s="767" t="s">
        <v>1044</v>
      </c>
      <c r="F108" s="125">
        <v>6</v>
      </c>
      <c r="G108" s="809">
        <v>5</v>
      </c>
      <c r="H108" s="883"/>
      <c r="I108" s="125"/>
      <c r="J108" s="126"/>
      <c r="K108" s="125"/>
      <c r="L108" s="125"/>
      <c r="M108" s="129"/>
      <c r="N108" s="129"/>
      <c r="O108" s="129"/>
      <c r="P108" s="129"/>
      <c r="Q108" s="811"/>
      <c r="R108" s="769"/>
      <c r="S108" s="787">
        <v>17500</v>
      </c>
      <c r="T108" s="767">
        <f>S108*F108*(G108+H108)</f>
        <v>525000</v>
      </c>
      <c r="U108" s="787">
        <v>17500</v>
      </c>
      <c r="V108" s="767">
        <f>U108*F108*(G108+H108)</f>
        <v>525000</v>
      </c>
      <c r="W108" s="787">
        <v>8400</v>
      </c>
      <c r="X108" s="767">
        <f>W108*(G108+H108)</f>
        <v>42000</v>
      </c>
      <c r="Y108" s="788">
        <v>300000</v>
      </c>
      <c r="Z108" s="767">
        <f>Y108*(G108+H108)</f>
        <v>1500000</v>
      </c>
      <c r="AA108" s="761">
        <f t="shared" ref="AA108" si="146">55000*(G108+H108)</f>
        <v>275000</v>
      </c>
      <c r="AB108" s="787"/>
      <c r="AC108" s="787"/>
      <c r="AD108" s="762">
        <f>T108+V108+X108+Z108+AA108+AB108+AC108</f>
        <v>2867000</v>
      </c>
      <c r="AE108" s="762">
        <f t="shared" si="129"/>
        <v>2867000</v>
      </c>
    </row>
    <row r="109" spans="1:39" s="756" customFormat="1" ht="76.5">
      <c r="A109" s="825"/>
      <c r="B109" s="1669" t="s">
        <v>886</v>
      </c>
      <c r="C109" s="1669"/>
      <c r="D109" s="1669"/>
      <c r="E109" s="1669"/>
      <c r="F109" s="826"/>
      <c r="G109" s="826"/>
      <c r="H109" s="882"/>
      <c r="I109" s="870"/>
      <c r="J109" s="870">
        <f>SUM(J99:J108)</f>
        <v>5355000</v>
      </c>
      <c r="K109" s="870"/>
      <c r="L109" s="870">
        <f>SUM(L99:L108)</f>
        <v>5433750</v>
      </c>
      <c r="M109" s="870"/>
      <c r="N109" s="870">
        <f>SUM(N99:N108)</f>
        <v>0</v>
      </c>
      <c r="O109" s="869"/>
      <c r="P109" s="870">
        <f>SUM(P99:P108)</f>
        <v>0</v>
      </c>
      <c r="Q109" s="869"/>
      <c r="R109" s="870">
        <f>SUM(R99:R108)</f>
        <v>10788750</v>
      </c>
      <c r="S109" s="869"/>
      <c r="T109" s="870">
        <f>SUM(T99:T108)</f>
        <v>5708500</v>
      </c>
      <c r="U109" s="869"/>
      <c r="V109" s="870">
        <f>SUM(V99:V108)</f>
        <v>5708500</v>
      </c>
      <c r="W109" s="869"/>
      <c r="X109" s="870">
        <f>SUM(X99:X108)</f>
        <v>422600</v>
      </c>
      <c r="Y109" s="869"/>
      <c r="Z109" s="870">
        <f t="shared" ref="Z109:AD109" si="147">SUM(Z99:Z108)</f>
        <v>9100000</v>
      </c>
      <c r="AA109" s="870">
        <f t="shared" si="147"/>
        <v>1265000</v>
      </c>
      <c r="AB109" s="870">
        <f t="shared" si="147"/>
        <v>0</v>
      </c>
      <c r="AC109" s="870">
        <f t="shared" si="147"/>
        <v>810000</v>
      </c>
      <c r="AD109" s="870">
        <f t="shared" si="147"/>
        <v>23014600</v>
      </c>
      <c r="AE109" s="870">
        <f>SUM(AE98:AE108)</f>
        <v>37502350</v>
      </c>
    </row>
    <row r="110" spans="1:39" s="756" customFormat="1" ht="76.5">
      <c r="A110" s="1736" t="s">
        <v>1045</v>
      </c>
      <c r="B110" s="1736"/>
      <c r="C110" s="1736"/>
      <c r="D110" s="1736"/>
      <c r="E110" s="1736"/>
      <c r="F110" s="1736"/>
      <c r="G110" s="1736"/>
      <c r="H110" s="1736"/>
      <c r="I110" s="1736"/>
      <c r="J110" s="1736"/>
      <c r="K110" s="1736"/>
      <c r="L110" s="1736"/>
      <c r="M110" s="1736"/>
      <c r="N110" s="1736"/>
      <c r="O110" s="1736"/>
      <c r="P110" s="1736"/>
      <c r="Q110" s="1736"/>
      <c r="R110" s="1736"/>
      <c r="S110" s="1736"/>
      <c r="T110" s="1736"/>
      <c r="U110" s="1736"/>
      <c r="V110" s="1736"/>
      <c r="W110" s="1736"/>
      <c r="X110" s="1736"/>
      <c r="Y110" s="1736"/>
      <c r="Z110" s="1736"/>
      <c r="AA110" s="1736"/>
      <c r="AB110" s="1736"/>
      <c r="AC110" s="1736"/>
      <c r="AD110" s="1736"/>
      <c r="AE110" s="1736"/>
    </row>
    <row r="111" spans="1:39" s="756" customFormat="1" ht="409.5">
      <c r="A111" s="129">
        <v>83</v>
      </c>
      <c r="B111" s="810">
        <v>1</v>
      </c>
      <c r="C111" s="795" t="s">
        <v>1069</v>
      </c>
      <c r="D111" s="767" t="s">
        <v>930</v>
      </c>
      <c r="E111" s="767" t="s">
        <v>1028</v>
      </c>
      <c r="F111" s="125">
        <v>18</v>
      </c>
      <c r="G111" s="809">
        <v>13</v>
      </c>
      <c r="H111" s="883"/>
      <c r="I111" s="125">
        <v>8500</v>
      </c>
      <c r="J111" s="768">
        <f t="shared" ref="J111:J113" si="148">(G111+H111)*I111*F111</f>
        <v>1989000</v>
      </c>
      <c r="K111" s="125">
        <v>8625</v>
      </c>
      <c r="L111" s="767">
        <f t="shared" ref="L111:L113" si="149">K111*F111*G111</f>
        <v>2018250</v>
      </c>
      <c r="M111" s="769">
        <f>3605*2</f>
        <v>7210</v>
      </c>
      <c r="N111" s="769">
        <f t="shared" ref="N111:N113" si="150">M111*H111*F111</f>
        <v>0</v>
      </c>
      <c r="O111" s="129">
        <v>10000</v>
      </c>
      <c r="P111" s="129">
        <f t="shared" ref="P111:P113" si="151">O111*H111*2</f>
        <v>0</v>
      </c>
      <c r="Q111" s="125">
        <v>122950</v>
      </c>
      <c r="R111" s="769">
        <f>SUM(J111+L111+N111+P111)+Q111</f>
        <v>4130200</v>
      </c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769"/>
      <c r="AE111" s="782">
        <f>R111+AD111</f>
        <v>4130200</v>
      </c>
      <c r="AM111" s="865">
        <f>AE111+AE98</f>
        <v>7829200</v>
      </c>
    </row>
    <row r="112" spans="1:39" s="756" customFormat="1" ht="409.5">
      <c r="A112" s="129">
        <v>83</v>
      </c>
      <c r="B112" s="810">
        <v>2</v>
      </c>
      <c r="C112" s="795" t="s">
        <v>1068</v>
      </c>
      <c r="D112" s="767" t="s">
        <v>1046</v>
      </c>
      <c r="E112" s="767" t="s">
        <v>1028</v>
      </c>
      <c r="F112" s="125">
        <v>14</v>
      </c>
      <c r="G112" s="809">
        <v>10</v>
      </c>
      <c r="H112" s="883"/>
      <c r="I112" s="125">
        <v>8500</v>
      </c>
      <c r="J112" s="768">
        <f t="shared" si="148"/>
        <v>1190000</v>
      </c>
      <c r="K112" s="125">
        <v>8625</v>
      </c>
      <c r="L112" s="767">
        <f t="shared" si="149"/>
        <v>1207500</v>
      </c>
      <c r="M112" s="769">
        <f t="shared" ref="M112:M122" si="152">3605*2</f>
        <v>7210</v>
      </c>
      <c r="N112" s="769">
        <f t="shared" si="150"/>
        <v>0</v>
      </c>
      <c r="O112" s="129">
        <v>10000</v>
      </c>
      <c r="P112" s="129">
        <f t="shared" si="151"/>
        <v>0</v>
      </c>
      <c r="Q112" s="811"/>
      <c r="R112" s="769">
        <f>SUM(J112+L112+N112+P112)+Q112</f>
        <v>2397500</v>
      </c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769"/>
      <c r="AE112" s="782">
        <f>R112+AD112</f>
        <v>2397500</v>
      </c>
    </row>
    <row r="113" spans="1:31" s="756" customFormat="1" ht="409.5">
      <c r="A113" s="129">
        <v>84</v>
      </c>
      <c r="B113" s="810">
        <v>3</v>
      </c>
      <c r="C113" s="813" t="s">
        <v>1047</v>
      </c>
      <c r="D113" s="125" t="s">
        <v>1030</v>
      </c>
      <c r="E113" s="125" t="s">
        <v>1028</v>
      </c>
      <c r="F113" s="125">
        <v>14</v>
      </c>
      <c r="G113" s="809">
        <v>10</v>
      </c>
      <c r="H113" s="883"/>
      <c r="I113" s="125">
        <v>8500</v>
      </c>
      <c r="J113" s="768">
        <f t="shared" si="148"/>
        <v>1190000</v>
      </c>
      <c r="K113" s="125">
        <v>8625</v>
      </c>
      <c r="L113" s="767">
        <f t="shared" si="149"/>
        <v>1207500</v>
      </c>
      <c r="M113" s="769">
        <f t="shared" si="152"/>
        <v>7210</v>
      </c>
      <c r="N113" s="769">
        <f t="shared" si="150"/>
        <v>0</v>
      </c>
      <c r="O113" s="129">
        <v>10000</v>
      </c>
      <c r="P113" s="129">
        <f t="shared" si="151"/>
        <v>0</v>
      </c>
      <c r="Q113" s="811"/>
      <c r="R113" s="769">
        <f>SUM(J113+L113+N113+P113)+Q113</f>
        <v>2397500</v>
      </c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769"/>
      <c r="AE113" s="782">
        <f t="shared" ref="AE113:AE123" si="153">R113+AD113</f>
        <v>2397500</v>
      </c>
    </row>
    <row r="114" spans="1:31" s="756" customFormat="1" ht="282">
      <c r="A114" s="773">
        <v>85</v>
      </c>
      <c r="B114" s="810">
        <v>4</v>
      </c>
      <c r="C114" s="813" t="s">
        <v>902</v>
      </c>
      <c r="D114" s="125" t="s">
        <v>1030</v>
      </c>
      <c r="E114" s="767" t="s">
        <v>1048</v>
      </c>
      <c r="F114" s="125">
        <v>5</v>
      </c>
      <c r="G114" s="809">
        <v>5</v>
      </c>
      <c r="H114" s="883"/>
      <c r="I114" s="125"/>
      <c r="J114" s="126"/>
      <c r="K114" s="125"/>
      <c r="L114" s="125"/>
      <c r="M114" s="129"/>
      <c r="N114" s="129"/>
      <c r="O114" s="129"/>
      <c r="P114" s="129"/>
      <c r="Q114" s="811"/>
      <c r="R114" s="769"/>
      <c r="S114" s="787">
        <v>17500</v>
      </c>
      <c r="T114" s="767">
        <f t="shared" ref="T114" si="154">S114*F114*(G114+H114)</f>
        <v>437500</v>
      </c>
      <c r="U114" s="787">
        <v>17500</v>
      </c>
      <c r="V114" s="767">
        <f>U114*F114*(G114+H114)</f>
        <v>437500</v>
      </c>
      <c r="W114" s="787">
        <v>13200</v>
      </c>
      <c r="X114" s="767">
        <f>W114*(G114+H114)</f>
        <v>66000</v>
      </c>
      <c r="Y114" s="788">
        <v>350000</v>
      </c>
      <c r="Z114" s="767">
        <f>Y114*(G114+H114)</f>
        <v>1750000</v>
      </c>
      <c r="AA114" s="761">
        <f t="shared" ref="AA114" si="155">55000*(G114+H114)</f>
        <v>275000</v>
      </c>
      <c r="AB114" s="787"/>
      <c r="AC114" s="787">
        <v>241044</v>
      </c>
      <c r="AD114" s="762">
        <f>T114+V114+X114+Z114+AA114+AB114+AC114</f>
        <v>3207044</v>
      </c>
      <c r="AE114" s="782">
        <f t="shared" si="153"/>
        <v>3207044</v>
      </c>
    </row>
    <row r="115" spans="1:31" s="756" customFormat="1" ht="409.5">
      <c r="A115" s="773">
        <v>86</v>
      </c>
      <c r="B115" s="810">
        <v>5</v>
      </c>
      <c r="C115" s="813" t="s">
        <v>1049</v>
      </c>
      <c r="D115" s="125" t="s">
        <v>1050</v>
      </c>
      <c r="E115" s="125" t="s">
        <v>1028</v>
      </c>
      <c r="F115" s="125">
        <v>14</v>
      </c>
      <c r="G115" s="809">
        <v>10</v>
      </c>
      <c r="H115" s="883"/>
      <c r="I115" s="125">
        <v>8500</v>
      </c>
      <c r="J115" s="768">
        <f t="shared" ref="J115:J116" si="156">(G115+H115)*I115*F115</f>
        <v>1190000</v>
      </c>
      <c r="K115" s="125">
        <v>8625</v>
      </c>
      <c r="L115" s="767">
        <f>K115*F115*G115</f>
        <v>1207500</v>
      </c>
      <c r="M115" s="769">
        <f t="shared" si="152"/>
        <v>7210</v>
      </c>
      <c r="N115" s="769">
        <f t="shared" ref="N115:N116" si="157">M115*H115*F115</f>
        <v>0</v>
      </c>
      <c r="O115" s="129">
        <v>10000</v>
      </c>
      <c r="P115" s="129">
        <f t="shared" ref="P115:P116" si="158">O115*H115*2</f>
        <v>0</v>
      </c>
      <c r="Q115" s="811"/>
      <c r="R115" s="769">
        <f t="shared" ref="R115:R116" si="159">SUM(J115+L115+N115+P115)+Q115</f>
        <v>2397500</v>
      </c>
      <c r="S115" s="787"/>
      <c r="T115" s="125"/>
      <c r="U115" s="787"/>
      <c r="V115" s="125"/>
      <c r="W115" s="787"/>
      <c r="X115" s="125"/>
      <c r="Y115" s="787"/>
      <c r="Z115" s="125"/>
      <c r="AA115" s="787"/>
      <c r="AB115" s="787"/>
      <c r="AC115" s="787"/>
      <c r="AD115" s="789"/>
      <c r="AE115" s="782">
        <f t="shared" si="153"/>
        <v>2397500</v>
      </c>
    </row>
    <row r="116" spans="1:31" s="756" customFormat="1" ht="409.5">
      <c r="A116" s="773">
        <v>87</v>
      </c>
      <c r="B116" s="810">
        <v>6</v>
      </c>
      <c r="C116" s="813" t="s">
        <v>1051</v>
      </c>
      <c r="D116" s="125" t="s">
        <v>1032</v>
      </c>
      <c r="E116" s="125" t="s">
        <v>1028</v>
      </c>
      <c r="F116" s="125">
        <v>14</v>
      </c>
      <c r="G116" s="809">
        <v>10</v>
      </c>
      <c r="H116" s="883"/>
      <c r="I116" s="125">
        <v>8500</v>
      </c>
      <c r="J116" s="768">
        <f t="shared" si="156"/>
        <v>1190000</v>
      </c>
      <c r="K116" s="125">
        <v>8625</v>
      </c>
      <c r="L116" s="767">
        <f>K116*F116*G116</f>
        <v>1207500</v>
      </c>
      <c r="M116" s="769">
        <f t="shared" si="152"/>
        <v>7210</v>
      </c>
      <c r="N116" s="769">
        <f t="shared" si="157"/>
        <v>0</v>
      </c>
      <c r="O116" s="129">
        <v>10000</v>
      </c>
      <c r="P116" s="129">
        <f t="shared" si="158"/>
        <v>0</v>
      </c>
      <c r="Q116" s="811"/>
      <c r="R116" s="769">
        <f t="shared" si="159"/>
        <v>2397500</v>
      </c>
      <c r="S116" s="787"/>
      <c r="T116" s="125"/>
      <c r="U116" s="787"/>
      <c r="V116" s="125"/>
      <c r="W116" s="787"/>
      <c r="X116" s="125"/>
      <c r="Y116" s="787"/>
      <c r="Z116" s="125"/>
      <c r="AA116" s="787"/>
      <c r="AB116" s="787"/>
      <c r="AC116" s="787"/>
      <c r="AD116" s="789"/>
      <c r="AE116" s="782">
        <f t="shared" si="153"/>
        <v>2397500</v>
      </c>
    </row>
    <row r="117" spans="1:31" s="756" customFormat="1" ht="352.5">
      <c r="A117" s="773">
        <v>88</v>
      </c>
      <c r="B117" s="810">
        <v>7</v>
      </c>
      <c r="C117" s="813" t="s">
        <v>1034</v>
      </c>
      <c r="D117" s="125" t="s">
        <v>1052</v>
      </c>
      <c r="E117" s="767" t="s">
        <v>1036</v>
      </c>
      <c r="F117" s="125">
        <v>7</v>
      </c>
      <c r="G117" s="809">
        <v>10</v>
      </c>
      <c r="H117" s="883"/>
      <c r="I117" s="125"/>
      <c r="J117" s="126"/>
      <c r="K117" s="125"/>
      <c r="L117" s="125"/>
      <c r="M117" s="129"/>
      <c r="N117" s="129"/>
      <c r="O117" s="129"/>
      <c r="P117" s="129"/>
      <c r="Q117" s="811"/>
      <c r="R117" s="769"/>
      <c r="S117" s="787">
        <v>43500</v>
      </c>
      <c r="T117" s="767">
        <f t="shared" ref="T117" si="160">S117*F117*(G117+H117)</f>
        <v>3045000</v>
      </c>
      <c r="U117" s="787">
        <v>43500</v>
      </c>
      <c r="V117" s="767">
        <f>U117*F117*(G117+H117)</f>
        <v>3045000</v>
      </c>
      <c r="W117" s="787">
        <v>14700</v>
      </c>
      <c r="X117" s="767">
        <f>W117*(G117+H117)</f>
        <v>147000</v>
      </c>
      <c r="Y117" s="788">
        <v>450000</v>
      </c>
      <c r="Z117" s="767">
        <f>Y117*(G117+H117)</f>
        <v>4500000</v>
      </c>
      <c r="AA117" s="761">
        <f t="shared" ref="AA117" si="161">55000*(G117+H117)</f>
        <v>550000</v>
      </c>
      <c r="AB117" s="787"/>
      <c r="AC117" s="787">
        <f>500000-68496</f>
        <v>431504</v>
      </c>
      <c r="AD117" s="762">
        <f>T117+V117+X117+Z117+AA117+AB117+AC117</f>
        <v>11718504</v>
      </c>
      <c r="AE117" s="782">
        <f>R117+AD117</f>
        <v>11718504</v>
      </c>
    </row>
    <row r="118" spans="1:31" s="756" customFormat="1" ht="409.5">
      <c r="A118" s="773">
        <v>89</v>
      </c>
      <c r="B118" s="810">
        <v>8</v>
      </c>
      <c r="C118" s="813" t="s">
        <v>1053</v>
      </c>
      <c r="D118" s="767" t="s">
        <v>1054</v>
      </c>
      <c r="E118" s="125" t="s">
        <v>1028</v>
      </c>
      <c r="F118" s="125">
        <v>14</v>
      </c>
      <c r="G118" s="809">
        <v>10</v>
      </c>
      <c r="H118" s="883"/>
      <c r="I118" s="125">
        <v>8500</v>
      </c>
      <c r="J118" s="768">
        <f>(G118+H118)*I118*F118</f>
        <v>1190000</v>
      </c>
      <c r="K118" s="125">
        <v>8625</v>
      </c>
      <c r="L118" s="767">
        <f t="shared" ref="L118:L119" si="162">K118*F118*G118</f>
        <v>1207500</v>
      </c>
      <c r="M118" s="769">
        <f t="shared" si="152"/>
        <v>7210</v>
      </c>
      <c r="N118" s="769">
        <f t="shared" ref="N118:N119" si="163">M118*H118*F118</f>
        <v>0</v>
      </c>
      <c r="O118" s="129">
        <v>10000</v>
      </c>
      <c r="P118" s="129">
        <f t="shared" ref="P118:P119" si="164">O118*H118*2</f>
        <v>0</v>
      </c>
      <c r="Q118" s="811"/>
      <c r="R118" s="769">
        <f t="shared" ref="R118:R119" si="165">SUM(J118+L118+N118+P118)+Q118</f>
        <v>2397500</v>
      </c>
      <c r="S118" s="787"/>
      <c r="T118" s="125"/>
      <c r="U118" s="787"/>
      <c r="V118" s="125"/>
      <c r="W118" s="787"/>
      <c r="X118" s="125"/>
      <c r="Y118" s="787"/>
      <c r="Z118" s="125"/>
      <c r="AA118" s="787"/>
      <c r="AB118" s="787"/>
      <c r="AC118" s="787"/>
      <c r="AD118" s="789"/>
      <c r="AE118" s="782">
        <f t="shared" si="153"/>
        <v>2397500</v>
      </c>
    </row>
    <row r="119" spans="1:31" s="756" customFormat="1" ht="409.5">
      <c r="A119" s="773">
        <v>90</v>
      </c>
      <c r="B119" s="810">
        <v>9</v>
      </c>
      <c r="C119" s="813" t="s">
        <v>1055</v>
      </c>
      <c r="D119" s="767" t="s">
        <v>1038</v>
      </c>
      <c r="E119" s="125" t="s">
        <v>1028</v>
      </c>
      <c r="F119" s="125">
        <v>14</v>
      </c>
      <c r="G119" s="809">
        <v>10</v>
      </c>
      <c r="H119" s="883"/>
      <c r="I119" s="125">
        <v>8500</v>
      </c>
      <c r="J119" s="768">
        <f>(G119+H119)*I119*F119</f>
        <v>1190000</v>
      </c>
      <c r="K119" s="125">
        <v>8625</v>
      </c>
      <c r="L119" s="767">
        <f t="shared" si="162"/>
        <v>1207500</v>
      </c>
      <c r="M119" s="769">
        <f t="shared" si="152"/>
        <v>7210</v>
      </c>
      <c r="N119" s="769">
        <f t="shared" si="163"/>
        <v>0</v>
      </c>
      <c r="O119" s="129">
        <v>10000</v>
      </c>
      <c r="P119" s="129">
        <f t="shared" si="164"/>
        <v>0</v>
      </c>
      <c r="Q119" s="811"/>
      <c r="R119" s="769">
        <f t="shared" si="165"/>
        <v>2397500</v>
      </c>
      <c r="S119" s="787"/>
      <c r="T119" s="125"/>
      <c r="U119" s="787"/>
      <c r="V119" s="125"/>
      <c r="W119" s="787"/>
      <c r="X119" s="125"/>
      <c r="Y119" s="787"/>
      <c r="Z119" s="125"/>
      <c r="AA119" s="787"/>
      <c r="AB119" s="787"/>
      <c r="AC119" s="787"/>
      <c r="AD119" s="789"/>
      <c r="AE119" s="782">
        <f t="shared" si="153"/>
        <v>2397500</v>
      </c>
    </row>
    <row r="120" spans="1:31" s="756" customFormat="1" ht="282">
      <c r="A120" s="773">
        <v>91</v>
      </c>
      <c r="B120" s="810">
        <v>10</v>
      </c>
      <c r="C120" s="813" t="s">
        <v>914</v>
      </c>
      <c r="D120" s="767" t="s">
        <v>1022</v>
      </c>
      <c r="E120" s="767" t="s">
        <v>904</v>
      </c>
      <c r="F120" s="125">
        <v>6</v>
      </c>
      <c r="G120" s="809">
        <v>10</v>
      </c>
      <c r="H120" s="883"/>
      <c r="I120" s="125"/>
      <c r="J120" s="126"/>
      <c r="K120" s="125"/>
      <c r="L120" s="125"/>
      <c r="M120" s="129"/>
      <c r="N120" s="129"/>
      <c r="O120" s="129"/>
      <c r="P120" s="129"/>
      <c r="Q120" s="811"/>
      <c r="R120" s="769"/>
      <c r="S120" s="787">
        <v>43500</v>
      </c>
      <c r="T120" s="767">
        <f t="shared" ref="T120" si="166">S120*F120*(G120+H120)</f>
        <v>2610000</v>
      </c>
      <c r="U120" s="787">
        <v>43500</v>
      </c>
      <c r="V120" s="767">
        <f>U120*F120*(G120+H120)</f>
        <v>2610000</v>
      </c>
      <c r="W120" s="787">
        <v>12600</v>
      </c>
      <c r="X120" s="767">
        <f>W120*(G120+H120)</f>
        <v>126000</v>
      </c>
      <c r="Y120" s="788">
        <v>350000</v>
      </c>
      <c r="Z120" s="767">
        <f>Y120*(G120+H120)</f>
        <v>3500000</v>
      </c>
      <c r="AA120" s="788"/>
      <c r="AB120" s="787"/>
      <c r="AC120" s="787">
        <f>495000-39398</f>
        <v>455602</v>
      </c>
      <c r="AD120" s="762">
        <f>T120+V120+X120+Z120+AA120+AB120+AC120</f>
        <v>9301602</v>
      </c>
      <c r="AE120" s="782">
        <f t="shared" si="153"/>
        <v>9301602</v>
      </c>
    </row>
    <row r="121" spans="1:31" s="756" customFormat="1" ht="409.5">
      <c r="A121" s="773">
        <v>92</v>
      </c>
      <c r="B121" s="810">
        <v>11</v>
      </c>
      <c r="C121" s="813" t="s">
        <v>1056</v>
      </c>
      <c r="D121" s="125" t="s">
        <v>1057</v>
      </c>
      <c r="E121" s="125" t="s">
        <v>1028</v>
      </c>
      <c r="F121" s="125">
        <v>14</v>
      </c>
      <c r="G121" s="809">
        <v>6</v>
      </c>
      <c r="H121" s="883"/>
      <c r="I121" s="125">
        <v>8500</v>
      </c>
      <c r="J121" s="768">
        <f t="shared" ref="J121:J122" si="167">(G121+H121)*I121*F121</f>
        <v>714000</v>
      </c>
      <c r="K121" s="125">
        <v>8625</v>
      </c>
      <c r="L121" s="767">
        <f t="shared" ref="L121:L122" si="168">K121*F121*G121</f>
        <v>724500</v>
      </c>
      <c r="M121" s="769">
        <f t="shared" si="152"/>
        <v>7210</v>
      </c>
      <c r="N121" s="769">
        <f t="shared" ref="N121:N122" si="169">M121*H121*F121</f>
        <v>0</v>
      </c>
      <c r="O121" s="129">
        <v>10000</v>
      </c>
      <c r="P121" s="129">
        <f t="shared" ref="P121:P122" si="170">O121*H121*2</f>
        <v>0</v>
      </c>
      <c r="Q121" s="811"/>
      <c r="R121" s="769">
        <f t="shared" ref="R121:R122" si="171">SUM(J121+L121+N121+P121)+Q121</f>
        <v>1438500</v>
      </c>
      <c r="S121" s="787"/>
      <c r="T121" s="125"/>
      <c r="U121" s="787"/>
      <c r="V121" s="125"/>
      <c r="W121" s="787"/>
      <c r="X121" s="125"/>
      <c r="Y121" s="787"/>
      <c r="Z121" s="125"/>
      <c r="AA121" s="787"/>
      <c r="AB121" s="787"/>
      <c r="AC121" s="787"/>
      <c r="AD121" s="789"/>
      <c r="AE121" s="782">
        <f t="shared" si="153"/>
        <v>1438500</v>
      </c>
    </row>
    <row r="122" spans="1:31" s="756" customFormat="1" ht="409.5">
      <c r="A122" s="773">
        <v>93</v>
      </c>
      <c r="B122" s="810">
        <v>12</v>
      </c>
      <c r="C122" s="813" t="s">
        <v>1058</v>
      </c>
      <c r="D122" s="125" t="s">
        <v>923</v>
      </c>
      <c r="E122" s="125" t="s">
        <v>1028</v>
      </c>
      <c r="F122" s="125">
        <v>14</v>
      </c>
      <c r="G122" s="809">
        <v>6</v>
      </c>
      <c r="H122" s="883"/>
      <c r="I122" s="125">
        <v>8500</v>
      </c>
      <c r="J122" s="768">
        <f t="shared" si="167"/>
        <v>714000</v>
      </c>
      <c r="K122" s="125">
        <v>8625</v>
      </c>
      <c r="L122" s="767">
        <f t="shared" si="168"/>
        <v>724500</v>
      </c>
      <c r="M122" s="769">
        <f t="shared" si="152"/>
        <v>7210</v>
      </c>
      <c r="N122" s="769">
        <f t="shared" si="169"/>
        <v>0</v>
      </c>
      <c r="O122" s="129">
        <v>10000</v>
      </c>
      <c r="P122" s="129">
        <f t="shared" si="170"/>
        <v>0</v>
      </c>
      <c r="Q122" s="811"/>
      <c r="R122" s="769">
        <f t="shared" si="171"/>
        <v>1438500</v>
      </c>
      <c r="S122" s="787"/>
      <c r="T122" s="125"/>
      <c r="U122" s="787"/>
      <c r="V122" s="125"/>
      <c r="W122" s="787"/>
      <c r="X122" s="125"/>
      <c r="Y122" s="787"/>
      <c r="Z122" s="125"/>
      <c r="AA122" s="787"/>
      <c r="AB122" s="787"/>
      <c r="AC122" s="787"/>
      <c r="AD122" s="789"/>
      <c r="AE122" s="782">
        <f>R122+AD122</f>
        <v>1438500</v>
      </c>
    </row>
    <row r="123" spans="1:31" s="756" customFormat="1" ht="282">
      <c r="A123" s="773">
        <v>94</v>
      </c>
      <c r="B123" s="810">
        <v>13</v>
      </c>
      <c r="C123" s="813" t="s">
        <v>913</v>
      </c>
      <c r="D123" s="125" t="s">
        <v>1059</v>
      </c>
      <c r="E123" s="767" t="s">
        <v>1060</v>
      </c>
      <c r="F123" s="125">
        <v>6</v>
      </c>
      <c r="G123" s="809">
        <v>5</v>
      </c>
      <c r="H123" s="883"/>
      <c r="I123" s="125"/>
      <c r="J123" s="126"/>
      <c r="K123" s="125"/>
      <c r="L123" s="125"/>
      <c r="M123" s="129"/>
      <c r="N123" s="129"/>
      <c r="O123" s="129"/>
      <c r="P123" s="129"/>
      <c r="Q123" s="811"/>
      <c r="R123" s="769"/>
      <c r="S123" s="787">
        <v>43500</v>
      </c>
      <c r="T123" s="767">
        <f t="shared" ref="T123" si="172">S123*F123*(G123+H123)</f>
        <v>1305000</v>
      </c>
      <c r="U123" s="787">
        <v>43500</v>
      </c>
      <c r="V123" s="767">
        <f>U123*F123*(G123+H123)</f>
        <v>1305000</v>
      </c>
      <c r="W123" s="787">
        <v>14700</v>
      </c>
      <c r="X123" s="767">
        <f>W123*(G123+H123)</f>
        <v>73500</v>
      </c>
      <c r="Y123" s="788">
        <v>450000</v>
      </c>
      <c r="Z123" s="767">
        <f>Y123*(G123+H123)</f>
        <v>2250000</v>
      </c>
      <c r="AA123" s="761">
        <f t="shared" ref="AA123" si="173">55000*(G123+H123)</f>
        <v>275000</v>
      </c>
      <c r="AB123" s="787"/>
      <c r="AC123" s="787">
        <v>127782</v>
      </c>
      <c r="AD123" s="762">
        <f>T123+V123+X123+Z123+AA123+AB123+AC123</f>
        <v>5336282</v>
      </c>
      <c r="AE123" s="782">
        <f t="shared" si="153"/>
        <v>5336282</v>
      </c>
    </row>
    <row r="124" spans="1:31" s="756" customFormat="1" ht="78.75" customHeight="1">
      <c r="A124" s="1664" t="s">
        <v>886</v>
      </c>
      <c r="B124" s="1664"/>
      <c r="C124" s="1664"/>
      <c r="D124" s="1664"/>
      <c r="E124" s="1664"/>
      <c r="F124" s="1664"/>
      <c r="G124" s="1664"/>
      <c r="H124" s="1664"/>
      <c r="I124" s="781"/>
      <c r="J124" s="781">
        <f>SUM(J112:J123)</f>
        <v>8568000</v>
      </c>
      <c r="K124" s="781"/>
      <c r="L124" s="781">
        <f>SUM(L112:L123)</f>
        <v>8694000</v>
      </c>
      <c r="M124" s="781"/>
      <c r="N124" s="781">
        <f>SUM(N112:N123)</f>
        <v>0</v>
      </c>
      <c r="O124" s="781"/>
      <c r="P124" s="781">
        <f>SUM(P112:P123)</f>
        <v>0</v>
      </c>
      <c r="Q124" s="781"/>
      <c r="R124" s="781">
        <f>SUM(R112:R123)</f>
        <v>17262000</v>
      </c>
      <c r="S124" s="781"/>
      <c r="T124" s="781">
        <f>SUM(T112:T123)</f>
        <v>7397500</v>
      </c>
      <c r="U124" s="781"/>
      <c r="V124" s="781">
        <f>SUM(V112:V123)</f>
        <v>7397500</v>
      </c>
      <c r="W124" s="781"/>
      <c r="X124" s="781">
        <f>SUM(X112:X123)</f>
        <v>412500</v>
      </c>
      <c r="Y124" s="781"/>
      <c r="Z124" s="781">
        <f t="shared" ref="Z124:AA124" si="174">SUM(Z112:Z123)</f>
        <v>12000000</v>
      </c>
      <c r="AA124" s="781">
        <f t="shared" si="174"/>
        <v>1100000</v>
      </c>
      <c r="AB124" s="781"/>
      <c r="AC124" s="781">
        <f t="shared" ref="AC124:AD124" si="175">SUM(AC112:AC123)</f>
        <v>1255932</v>
      </c>
      <c r="AD124" s="781">
        <f t="shared" si="175"/>
        <v>29563432</v>
      </c>
      <c r="AE124" s="781">
        <f>SUM(AE111:AE123)</f>
        <v>50955632</v>
      </c>
    </row>
    <row r="125" spans="1:31" s="756" customFormat="1" ht="138" customHeight="1">
      <c r="A125" s="1734" t="s">
        <v>1061</v>
      </c>
      <c r="B125" s="1735"/>
      <c r="C125" s="1735"/>
      <c r="D125" s="1735"/>
      <c r="E125" s="1735"/>
      <c r="F125" s="829"/>
      <c r="G125" s="829"/>
      <c r="H125" s="875"/>
      <c r="I125" s="829"/>
      <c r="J125" s="830">
        <f>J13+J22+J36+J46+J55+J60+J68+J75+J86+J96+J109+J124</f>
        <v>37211000</v>
      </c>
      <c r="K125" s="830"/>
      <c r="L125" s="830">
        <f>L13+L22+L36+L46+L55+L60+L68+L75+L86+L96+L109+L124</f>
        <v>37627675</v>
      </c>
      <c r="M125" s="830"/>
      <c r="N125" s="830">
        <f>N13+N22+N36+N46+N55+N60+N68+N75+N86+N96+N109+N124</f>
        <v>0</v>
      </c>
      <c r="O125" s="830"/>
      <c r="P125" s="830">
        <f>P13+P22+P36+P46+P55+P60+P68+P75+P86+P96+P109+P124</f>
        <v>0</v>
      </c>
      <c r="Q125" s="830">
        <f>Q13+Q22+Q36+Q46+Q55+Q60+Q68+Q75+Q86+Q96+Q109+Q124</f>
        <v>277952</v>
      </c>
      <c r="R125" s="830">
        <f>R13+R22+R36+R46+R55+R60+R68+R75+R86+R96+R109+R124</f>
        <v>75116627</v>
      </c>
      <c r="S125" s="830"/>
      <c r="T125" s="830">
        <f>T13+T22+T36+T46+T55+T60+T68+T75+T86+T96+T109+T124</f>
        <v>94192140</v>
      </c>
      <c r="U125" s="830"/>
      <c r="V125" s="830">
        <f>V13+V22+V36+V46+V55+V60+V68+V75+V86+V96+V109+V124</f>
        <v>68510934</v>
      </c>
      <c r="W125" s="830"/>
      <c r="X125" s="830">
        <f>X13+X22+X36+X46+X55+X60+X68+X75+X86+X96+X109+X124</f>
        <v>4507000</v>
      </c>
      <c r="Y125" s="830"/>
      <c r="Z125" s="830">
        <f t="shared" ref="Z125:AE125" si="176">Z13+Z22+Z36+Z46+Z55+Z60+Z68+Z75+Z86+Z96+Z109+Z124</f>
        <v>141068000</v>
      </c>
      <c r="AA125" s="830">
        <f t="shared" si="176"/>
        <v>12100000</v>
      </c>
      <c r="AB125" s="830">
        <f t="shared" si="176"/>
        <v>0</v>
      </c>
      <c r="AC125" s="830">
        <f t="shared" si="176"/>
        <v>8502745</v>
      </c>
      <c r="AD125" s="830">
        <f t="shared" si="176"/>
        <v>328880819</v>
      </c>
      <c r="AE125" s="830">
        <f t="shared" si="176"/>
        <v>411826646</v>
      </c>
    </row>
    <row r="126" spans="1:31">
      <c r="A126" s="814"/>
      <c r="B126" s="814"/>
      <c r="C126" s="814"/>
      <c r="D126" s="814"/>
      <c r="E126" s="814"/>
      <c r="F126" s="814"/>
      <c r="G126" s="814"/>
      <c r="H126" s="876"/>
      <c r="I126" s="814"/>
      <c r="J126" s="814"/>
      <c r="K126" s="814"/>
      <c r="L126" s="814"/>
      <c r="M126" s="814"/>
      <c r="N126" s="814"/>
      <c r="O126" s="814"/>
      <c r="P126" s="814"/>
      <c r="Q126" s="814"/>
      <c r="R126" s="814"/>
      <c r="S126" s="814"/>
      <c r="T126" s="814"/>
      <c r="U126" s="814"/>
      <c r="V126" s="814"/>
      <c r="W126" s="814"/>
      <c r="X126" s="814"/>
      <c r="Y126" s="814"/>
      <c r="Z126" s="814"/>
      <c r="AA126" s="814"/>
      <c r="AB126" s="814"/>
      <c r="AC126" s="814"/>
      <c r="AD126" s="814"/>
      <c r="AE126" s="814"/>
    </row>
    <row r="127" spans="1:31" s="828" customFormat="1" ht="64.5">
      <c r="H127" s="877"/>
    </row>
    <row r="128" spans="1:31" s="828" customFormat="1" ht="64.5">
      <c r="H128" s="877"/>
      <c r="AE128" s="827"/>
    </row>
    <row r="129" spans="8:31" s="828" customFormat="1" ht="64.5">
      <c r="H129" s="877"/>
      <c r="AE129" s="827">
        <f>AE125+'169 ТРЕНЕР2024'!AE125</f>
        <v>509228950</v>
      </c>
    </row>
    <row r="130" spans="8:31" s="828" customFormat="1" ht="64.5">
      <c r="H130" s="877"/>
      <c r="AE130" s="827"/>
    </row>
    <row r="131" spans="8:31" s="828" customFormat="1" ht="64.5">
      <c r="H131" s="877"/>
    </row>
    <row r="132" spans="8:31" s="828" customFormat="1" ht="64.5">
      <c r="H132" s="877"/>
    </row>
    <row r="133" spans="8:31" s="828" customFormat="1" ht="64.5">
      <c r="H133" s="877"/>
    </row>
    <row r="134" spans="8:31" s="828" customFormat="1" ht="64.5">
      <c r="H134" s="877"/>
    </row>
    <row r="135" spans="8:31" s="828" customFormat="1" ht="64.5">
      <c r="H135" s="877"/>
    </row>
    <row r="136" spans="8:31" s="828" customFormat="1" ht="64.5">
      <c r="H136" s="877"/>
    </row>
  </sheetData>
  <mergeCells count="50">
    <mergeCell ref="A75:E75"/>
    <mergeCell ref="A76:AE76"/>
    <mergeCell ref="A86:G86"/>
    <mergeCell ref="A87:AE87"/>
    <mergeCell ref="A96:H96"/>
    <mergeCell ref="A5:AE5"/>
    <mergeCell ref="A13:H13"/>
    <mergeCell ref="A14:AE14"/>
    <mergeCell ref="A22:H22"/>
    <mergeCell ref="A23:AE23"/>
    <mergeCell ref="A97:AE97"/>
    <mergeCell ref="B109:E109"/>
    <mergeCell ref="A110:AE110"/>
    <mergeCell ref="A124:H124"/>
    <mergeCell ref="A125:E125"/>
    <mergeCell ref="A69:AE69"/>
    <mergeCell ref="A36:H36"/>
    <mergeCell ref="A37:AE37"/>
    <mergeCell ref="A46:H46"/>
    <mergeCell ref="A47:AE47"/>
    <mergeCell ref="A55:H55"/>
    <mergeCell ref="A56:AE56"/>
    <mergeCell ref="A60:H60"/>
    <mergeCell ref="A61:AE61"/>
    <mergeCell ref="A68:H68"/>
    <mergeCell ref="Y3:Z3"/>
    <mergeCell ref="AA3:AA4"/>
    <mergeCell ref="AB3:AB4"/>
    <mergeCell ref="AC3:AC4"/>
    <mergeCell ref="M3:N3"/>
    <mergeCell ref="O3:P3"/>
    <mergeCell ref="S3:T3"/>
    <mergeCell ref="U3:V3"/>
    <mergeCell ref="W3:X3"/>
    <mergeCell ref="A1:AE1"/>
    <mergeCell ref="A2:A4"/>
    <mergeCell ref="B2:B4"/>
    <mergeCell ref="C2:C4"/>
    <mergeCell ref="D2:D4"/>
    <mergeCell ref="E2:E4"/>
    <mergeCell ref="F2:F4"/>
    <mergeCell ref="G2:G4"/>
    <mergeCell ref="I2:Q2"/>
    <mergeCell ref="R2:R4"/>
    <mergeCell ref="AD3:AD4"/>
    <mergeCell ref="S2:AD2"/>
    <mergeCell ref="AE2:AE4"/>
    <mergeCell ref="H3:H4"/>
    <mergeCell ref="I3:J3"/>
    <mergeCell ref="K3:L3"/>
  </mergeCells>
  <pageMargins left="0.25" right="0.25" top="0.75" bottom="0.75" header="0.3" footer="0.3"/>
  <pageSetup paperSize="9" scale="1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Q21"/>
  <sheetViews>
    <sheetView view="pageBreakPreview" zoomScaleNormal="100" zoomScaleSheetLayoutView="100" workbookViewId="0">
      <selection activeCell="M13" sqref="M13"/>
    </sheetView>
  </sheetViews>
  <sheetFormatPr defaultColWidth="9.140625" defaultRowHeight="12.75"/>
  <cols>
    <col min="1" max="1" width="3.140625" style="428" customWidth="1"/>
    <col min="2" max="2" width="21.5703125" style="110" customWidth="1"/>
    <col min="3" max="3" width="4.85546875" style="428" customWidth="1"/>
    <col min="4" max="4" width="7.140625" style="110" customWidth="1"/>
    <col min="5" max="5" width="10.85546875" style="428" bestFit="1" customWidth="1"/>
    <col min="6" max="6" width="8.140625" style="428" customWidth="1"/>
    <col min="7" max="7" width="10.85546875" style="110" customWidth="1"/>
    <col min="8" max="9" width="7.28515625" style="110" bestFit="1" customWidth="1"/>
    <col min="10" max="10" width="11.5703125" style="110" customWidth="1"/>
    <col min="11" max="11" width="10.85546875" style="110" customWidth="1"/>
    <col min="12" max="12" width="13.28515625" style="110" customWidth="1"/>
    <col min="13" max="13" width="13.7109375" style="110" customWidth="1"/>
    <col min="14" max="14" width="13" style="110" customWidth="1"/>
    <col min="15" max="15" width="9.140625" style="110" customWidth="1"/>
    <col min="16" max="16384" width="9.140625" style="110"/>
  </cols>
  <sheetData>
    <row r="2" spans="1:17" ht="15.75">
      <c r="A2" s="1752" t="s">
        <v>1282</v>
      </c>
      <c r="B2" s="1752"/>
      <c r="C2" s="1752"/>
      <c r="D2" s="1752"/>
      <c r="E2" s="1752"/>
      <c r="F2" s="1752"/>
      <c r="G2" s="1752"/>
      <c r="H2" s="1752"/>
      <c r="I2" s="1752"/>
      <c r="J2" s="1752"/>
      <c r="K2" s="1752"/>
      <c r="L2" s="1752"/>
    </row>
    <row r="4" spans="1:17" s="415" customFormat="1" ht="72.75" customHeight="1">
      <c r="A4" s="1750" t="s">
        <v>2</v>
      </c>
      <c r="B4" s="1750" t="s">
        <v>434</v>
      </c>
      <c r="C4" s="1750" t="s">
        <v>249</v>
      </c>
      <c r="D4" s="1753" t="s">
        <v>435</v>
      </c>
      <c r="E4" s="1753" t="s">
        <v>436</v>
      </c>
      <c r="F4" s="1753" t="s">
        <v>437</v>
      </c>
      <c r="G4" s="1750" t="s">
        <v>438</v>
      </c>
      <c r="H4" s="1750" t="s">
        <v>1287</v>
      </c>
      <c r="I4" s="1750" t="s">
        <v>1288</v>
      </c>
      <c r="J4" s="1748" t="s">
        <v>439</v>
      </c>
      <c r="K4" s="1749"/>
      <c r="L4" s="1750" t="s">
        <v>1286</v>
      </c>
      <c r="M4" s="1750" t="s">
        <v>1289</v>
      </c>
      <c r="N4" s="1750" t="s">
        <v>1290</v>
      </c>
    </row>
    <row r="5" spans="1:17" s="415" customFormat="1" ht="25.5">
      <c r="A5" s="1751"/>
      <c r="B5" s="1751"/>
      <c r="C5" s="1751"/>
      <c r="D5" s="1754"/>
      <c r="E5" s="1754"/>
      <c r="F5" s="1754"/>
      <c r="G5" s="1751"/>
      <c r="H5" s="1751"/>
      <c r="I5" s="1751"/>
      <c r="J5" s="1178" t="s">
        <v>440</v>
      </c>
      <c r="K5" s="1178" t="s">
        <v>441</v>
      </c>
      <c r="L5" s="1751"/>
      <c r="M5" s="1751"/>
      <c r="N5" s="1751"/>
    </row>
    <row r="6" spans="1:17" s="428" customFormat="1">
      <c r="A6" s="429">
        <v>1</v>
      </c>
      <c r="B6" s="429">
        <v>2</v>
      </c>
      <c r="C6" s="429">
        <v>3</v>
      </c>
      <c r="D6" s="429">
        <v>4</v>
      </c>
      <c r="E6" s="429">
        <v>5</v>
      </c>
      <c r="F6" s="429">
        <v>6</v>
      </c>
      <c r="G6" s="429">
        <v>7</v>
      </c>
      <c r="H6" s="429">
        <v>8</v>
      </c>
      <c r="I6" s="429">
        <v>9</v>
      </c>
      <c r="J6" s="1179">
        <v>8</v>
      </c>
      <c r="K6" s="1179">
        <v>9</v>
      </c>
      <c r="L6" s="429">
        <v>10</v>
      </c>
      <c r="M6" s="429">
        <v>13</v>
      </c>
      <c r="N6" s="429">
        <v>14</v>
      </c>
    </row>
    <row r="7" spans="1:17">
      <c r="A7" s="416">
        <v>1</v>
      </c>
      <c r="B7" s="430" t="s">
        <v>446</v>
      </c>
      <c r="C7" s="419">
        <v>1</v>
      </c>
      <c r="D7" s="419">
        <v>2007</v>
      </c>
      <c r="E7" s="420">
        <v>2000</v>
      </c>
      <c r="F7" s="419">
        <v>3</v>
      </c>
      <c r="G7" s="417">
        <v>3932</v>
      </c>
      <c r="H7" s="417">
        <v>4129</v>
      </c>
      <c r="I7" s="417">
        <v>4335</v>
      </c>
      <c r="J7" s="1180">
        <v>500</v>
      </c>
      <c r="K7" s="1180">
        <f>J7*7</f>
        <v>3500</v>
      </c>
      <c r="L7" s="721">
        <f>SUM(F7*G7+K7)/1000</f>
        <v>15.295999999999999</v>
      </c>
      <c r="M7" s="418">
        <f>(F7*H7+K7)/1000</f>
        <v>15.887</v>
      </c>
      <c r="N7" s="418">
        <f>(F7*I7+K7)/1000</f>
        <v>16.504999999999999</v>
      </c>
      <c r="O7" s="1745" t="s">
        <v>447</v>
      </c>
    </row>
    <row r="8" spans="1:17">
      <c r="A8" s="416">
        <v>2</v>
      </c>
      <c r="B8" s="430" t="s">
        <v>442</v>
      </c>
      <c r="C8" s="419">
        <v>1</v>
      </c>
      <c r="D8" s="419">
        <v>2010</v>
      </c>
      <c r="E8" s="416" t="s">
        <v>443</v>
      </c>
      <c r="F8" s="419">
        <v>9</v>
      </c>
      <c r="G8" s="417">
        <v>3932</v>
      </c>
      <c r="H8" s="417">
        <v>4129</v>
      </c>
      <c r="I8" s="417">
        <v>4335</v>
      </c>
      <c r="J8" s="1180"/>
      <c r="K8" s="1180"/>
      <c r="L8" s="721">
        <f>SUM(F8*G8+K8)/1000</f>
        <v>35.387999999999998</v>
      </c>
      <c r="M8" s="418">
        <f>(F8*H8+K8)/1000</f>
        <v>37.161000000000001</v>
      </c>
      <c r="N8" s="418">
        <f>(F8*I8+K8)/1000</f>
        <v>39.015000000000001</v>
      </c>
      <c r="O8" s="1745"/>
    </row>
    <row r="9" spans="1:17">
      <c r="A9" s="416">
        <v>3</v>
      </c>
      <c r="B9" s="430" t="s">
        <v>442</v>
      </c>
      <c r="C9" s="419">
        <v>1</v>
      </c>
      <c r="D9" s="419">
        <v>2010</v>
      </c>
      <c r="E9" s="416" t="s">
        <v>443</v>
      </c>
      <c r="F9" s="419">
        <v>9</v>
      </c>
      <c r="G9" s="417">
        <v>3932</v>
      </c>
      <c r="H9" s="417">
        <v>4129</v>
      </c>
      <c r="I9" s="417">
        <v>4335</v>
      </c>
      <c r="J9" s="1180"/>
      <c r="K9" s="1180"/>
      <c r="L9" s="721">
        <f>SUM(F9*G9+K9)/1000</f>
        <v>35.387999999999998</v>
      </c>
      <c r="M9" s="418">
        <f>(F9*H9+K9)/1000</f>
        <v>37.161000000000001</v>
      </c>
      <c r="N9" s="418">
        <f>(F9*I9+K9)/1000</f>
        <v>39.015000000000001</v>
      </c>
      <c r="O9" s="1745"/>
    </row>
    <row r="10" spans="1:17">
      <c r="A10" s="1746" t="s">
        <v>444</v>
      </c>
      <c r="B10" s="1746"/>
      <c r="C10" s="1746"/>
      <c r="D10" s="1746"/>
      <c r="E10" s="1746"/>
      <c r="F10" s="1746"/>
      <c r="G10" s="1746"/>
      <c r="H10" s="1746"/>
      <c r="I10" s="1746"/>
      <c r="J10" s="1746"/>
      <c r="K10" s="1746"/>
      <c r="L10" s="722">
        <f>SUM(L7:L9)</f>
        <v>86.072000000000003</v>
      </c>
      <c r="M10" s="723">
        <f>SUM(M7:M9)</f>
        <v>90.209000000000003</v>
      </c>
      <c r="N10" s="421">
        <f>SUM(N7:N9)</f>
        <v>94.534999999999997</v>
      </c>
      <c r="P10" s="110">
        <v>85</v>
      </c>
    </row>
    <row r="11" spans="1:17" ht="23.25" customHeight="1">
      <c r="A11" s="1747" t="s">
        <v>445</v>
      </c>
      <c r="B11" s="1747"/>
      <c r="C11" s="1747"/>
      <c r="D11" s="1747"/>
      <c r="E11" s="1747"/>
      <c r="F11" s="1747"/>
      <c r="G11" s="1747"/>
      <c r="H11" s="1747"/>
      <c r="I11" s="1747"/>
      <c r="J11" s="1747"/>
      <c r="K11" s="1747"/>
      <c r="L11" s="1747"/>
      <c r="M11" s="724"/>
    </row>
    <row r="12" spans="1:17" ht="12.75" customHeight="1">
      <c r="A12" s="422"/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</row>
    <row r="13" spans="1:17" ht="15">
      <c r="A13" s="422"/>
      <c r="B13" s="423"/>
      <c r="C13" s="424"/>
      <c r="D13" s="114"/>
      <c r="E13" s="431"/>
      <c r="F13" s="423"/>
      <c r="G13" s="426"/>
      <c r="H13" s="426"/>
      <c r="I13" s="426"/>
      <c r="J13" s="426"/>
      <c r="K13" s="423"/>
      <c r="L13" s="427"/>
      <c r="M13" s="432"/>
      <c r="O13" s="433"/>
      <c r="P13" s="432"/>
      <c r="Q13" s="432"/>
    </row>
    <row r="14" spans="1:17" ht="15">
      <c r="A14" s="674" t="s">
        <v>640</v>
      </c>
      <c r="B14" s="674"/>
      <c r="C14" s="674"/>
      <c r="D14" s="915"/>
      <c r="E14" s="916"/>
      <c r="F14" s="917"/>
      <c r="G14" s="674" t="s">
        <v>1167</v>
      </c>
      <c r="H14" s="674"/>
      <c r="I14" s="917"/>
      <c r="J14" s="674"/>
      <c r="K14" s="917"/>
      <c r="L14" s="674"/>
      <c r="M14" s="917"/>
    </row>
    <row r="15" spans="1:17" ht="15">
      <c r="A15" s="674"/>
      <c r="B15" s="674"/>
      <c r="C15" s="674"/>
      <c r="D15" s="915"/>
      <c r="E15" s="916"/>
      <c r="F15" s="917"/>
      <c r="G15" s="674"/>
      <c r="H15" s="674"/>
      <c r="I15" s="917"/>
      <c r="J15" s="673"/>
      <c r="K15" s="917"/>
      <c r="L15" s="673"/>
      <c r="M15" s="917"/>
      <c r="Q15" s="110" t="s">
        <v>1379</v>
      </c>
    </row>
    <row r="16" spans="1:17" ht="15">
      <c r="A16" s="674"/>
      <c r="B16" s="674"/>
      <c r="C16" s="674"/>
      <c r="D16" s="915"/>
      <c r="E16" s="916"/>
      <c r="F16" s="917"/>
      <c r="G16" s="674"/>
      <c r="H16" s="674"/>
      <c r="I16" s="917"/>
      <c r="J16" s="674"/>
      <c r="K16" s="917"/>
      <c r="L16" s="674"/>
      <c r="M16" s="917"/>
    </row>
    <row r="17" spans="1:17" ht="15">
      <c r="A17" s="674" t="s">
        <v>1166</v>
      </c>
      <c r="B17" s="674"/>
      <c r="C17" s="674"/>
      <c r="D17" s="915"/>
      <c r="E17" s="916"/>
      <c r="F17" s="917"/>
      <c r="G17" s="1009" t="s">
        <v>1168</v>
      </c>
      <c r="H17" s="1009"/>
      <c r="I17" s="917"/>
      <c r="J17" s="674"/>
      <c r="K17" s="917"/>
      <c r="L17" s="674"/>
      <c r="M17" s="917"/>
      <c r="Q17" s="110" t="s">
        <v>1380</v>
      </c>
    </row>
    <row r="18" spans="1:17" ht="15">
      <c r="B18" s="674"/>
      <c r="C18" s="674"/>
      <c r="D18" s="915"/>
      <c r="E18" s="916"/>
      <c r="F18" s="917"/>
      <c r="G18" s="917"/>
      <c r="H18" s="917"/>
      <c r="I18" s="917"/>
      <c r="J18" s="674"/>
      <c r="K18" s="917"/>
      <c r="L18" s="674"/>
      <c r="M18" s="917"/>
      <c r="Q18" s="110" t="s">
        <v>1381</v>
      </c>
    </row>
    <row r="19" spans="1:17" ht="15">
      <c r="B19" s="673"/>
      <c r="C19" s="673"/>
      <c r="D19" s="459"/>
      <c r="E19" s="916"/>
      <c r="F19" s="917"/>
      <c r="G19" s="917"/>
      <c r="H19" s="917"/>
      <c r="I19" s="917"/>
      <c r="J19" s="673"/>
      <c r="K19" s="917"/>
      <c r="L19" s="673"/>
      <c r="M19" s="917"/>
    </row>
    <row r="20" spans="1:17" ht="15">
      <c r="B20" s="674"/>
      <c r="C20" s="673"/>
      <c r="D20" s="915"/>
      <c r="E20" s="916"/>
      <c r="F20" s="917"/>
      <c r="G20" s="917"/>
      <c r="H20" s="917"/>
      <c r="I20" s="917"/>
      <c r="J20" s="674"/>
      <c r="K20" s="917"/>
      <c r="L20" s="674"/>
      <c r="M20" s="917"/>
    </row>
    <row r="21" spans="1:17" ht="15">
      <c r="B21" s="918"/>
      <c r="C21" s="919"/>
      <c r="D21" s="919"/>
      <c r="E21" s="919"/>
      <c r="F21" s="920"/>
      <c r="G21" s="917"/>
      <c r="H21" s="917"/>
      <c r="I21" s="917"/>
      <c r="J21" s="917"/>
      <c r="K21" s="917"/>
      <c r="L21" s="917"/>
      <c r="M21" s="917"/>
    </row>
  </sheetData>
  <mergeCells count="17"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7:O9"/>
    <mergeCell ref="A10:K10"/>
    <mergeCell ref="A11:L11"/>
    <mergeCell ref="J4:K4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2:G18"/>
  <sheetViews>
    <sheetView view="pageBreakPreview" zoomScaleNormal="100" zoomScaleSheetLayoutView="100" workbookViewId="0">
      <selection activeCell="J37" sqref="J37"/>
    </sheetView>
  </sheetViews>
  <sheetFormatPr defaultColWidth="9.140625" defaultRowHeight="12.75"/>
  <cols>
    <col min="1" max="1" width="37.5703125" style="110" customWidth="1"/>
    <col min="2" max="2" width="13.7109375" style="110" customWidth="1"/>
    <col min="3" max="3" width="10.7109375" style="110" customWidth="1"/>
    <col min="4" max="4" width="13.28515625" style="110" customWidth="1"/>
    <col min="5" max="5" width="16.28515625" style="110" customWidth="1"/>
    <col min="6" max="6" width="15.7109375" style="110" customWidth="1"/>
    <col min="7" max="7" width="15.140625" style="110" customWidth="1"/>
    <col min="8" max="16384" width="9.140625" style="110"/>
  </cols>
  <sheetData>
    <row r="2" spans="1:7">
      <c r="A2" s="1756" t="s">
        <v>448</v>
      </c>
      <c r="B2" s="1756"/>
      <c r="C2" s="1756"/>
      <c r="D2" s="1756"/>
      <c r="E2" s="1756"/>
      <c r="F2" s="115"/>
      <c r="G2" s="115"/>
    </row>
    <row r="3" spans="1:7">
      <c r="A3" s="1757" t="s">
        <v>449</v>
      </c>
      <c r="B3" s="1757"/>
      <c r="C3" s="1757"/>
      <c r="D3" s="1757"/>
      <c r="E3" s="1757"/>
    </row>
    <row r="5" spans="1:7" ht="13.5" thickBot="1"/>
    <row r="6" spans="1:7" ht="39" thickBot="1">
      <c r="A6" s="435" t="s">
        <v>450</v>
      </c>
      <c r="B6" s="436" t="s">
        <v>249</v>
      </c>
      <c r="C6" s="437" t="s">
        <v>451</v>
      </c>
      <c r="D6" s="438" t="s">
        <v>452</v>
      </c>
      <c r="E6" s="439" t="s">
        <v>453</v>
      </c>
      <c r="F6" s="439" t="s">
        <v>454</v>
      </c>
      <c r="G6" s="439" t="s">
        <v>455</v>
      </c>
    </row>
    <row r="7" spans="1:7" ht="13.5" thickBot="1">
      <c r="A7" s="441" t="s">
        <v>456</v>
      </c>
      <c r="B7" s="441">
        <f>0.01749</f>
        <v>1.7489999999999999E-2</v>
      </c>
      <c r="C7" s="441"/>
      <c r="D7" s="442">
        <v>3323</v>
      </c>
      <c r="E7" s="443">
        <f>B7*C7*D7/1000</f>
        <v>0</v>
      </c>
      <c r="F7" s="440" t="e">
        <f>B7*C7*#REF!/1000</f>
        <v>#REF!</v>
      </c>
      <c r="G7" s="440" t="e">
        <f>B7*C7*#REF!/1000</f>
        <v>#REF!</v>
      </c>
    </row>
    <row r="8" spans="1:7" ht="13.5" thickBot="1">
      <c r="A8" s="1758" t="s">
        <v>457</v>
      </c>
      <c r="B8" s="1759"/>
      <c r="C8" s="1759"/>
      <c r="D8" s="1760"/>
      <c r="E8" s="444">
        <f>SUM(E7:E7)</f>
        <v>0</v>
      </c>
      <c r="F8" s="444" t="e">
        <f>SUM(F7:F7)</f>
        <v>#REF!</v>
      </c>
      <c r="G8" s="444" t="e">
        <f>SUM(G7:G7)</f>
        <v>#REF!</v>
      </c>
    </row>
    <row r="9" spans="1:7">
      <c r="A9" s="1761" t="s">
        <v>458</v>
      </c>
      <c r="B9" s="1761"/>
      <c r="C9" s="1761"/>
      <c r="D9" s="1761"/>
    </row>
    <row r="10" spans="1:7">
      <c r="A10" s="445" t="s">
        <v>459</v>
      </c>
      <c r="B10" s="445"/>
      <c r="C10" s="445"/>
      <c r="D10" s="445"/>
    </row>
    <row r="12" spans="1:7">
      <c r="A12" s="423"/>
      <c r="B12" s="424"/>
      <c r="C12" s="425"/>
      <c r="D12" s="423"/>
      <c r="E12" s="423"/>
      <c r="G12" s="426"/>
    </row>
    <row r="13" spans="1:7">
      <c r="A13" s="1755" t="s">
        <v>460</v>
      </c>
      <c r="B13" s="1755"/>
      <c r="C13" s="1755"/>
      <c r="D13" s="1755"/>
      <c r="E13" s="1755"/>
      <c r="F13" s="446"/>
      <c r="G13" s="426"/>
    </row>
    <row r="14" spans="1:7">
      <c r="A14" s="111"/>
      <c r="B14" s="111"/>
      <c r="C14" s="111"/>
      <c r="D14" s="111"/>
      <c r="E14" s="112"/>
      <c r="G14" s="426"/>
    </row>
    <row r="15" spans="1:7">
      <c r="A15" s="111"/>
      <c r="B15" s="111"/>
      <c r="C15" s="111"/>
      <c r="D15" s="111"/>
      <c r="E15" s="112"/>
      <c r="F15" s="423"/>
      <c r="G15" s="426"/>
    </row>
    <row r="16" spans="1:7">
      <c r="A16" s="113"/>
      <c r="B16" s="113"/>
      <c r="C16" s="113"/>
      <c r="D16" s="113"/>
      <c r="E16" s="112"/>
      <c r="F16" s="423"/>
      <c r="G16" s="426"/>
    </row>
    <row r="17" spans="1:7">
      <c r="A17" s="1755" t="s">
        <v>461</v>
      </c>
      <c r="B17" s="1755"/>
      <c r="C17" s="1755"/>
      <c r="D17" s="1755"/>
      <c r="E17" s="1755"/>
      <c r="G17" s="426"/>
    </row>
    <row r="18" spans="1:7" ht="12.75" customHeight="1">
      <c r="A18" s="112"/>
      <c r="B18" s="112"/>
      <c r="C18" s="112"/>
      <c r="D18" s="112"/>
      <c r="E18" s="112"/>
    </row>
  </sheetData>
  <mergeCells count="6">
    <mergeCell ref="A17:E17"/>
    <mergeCell ref="A2:E2"/>
    <mergeCell ref="A3:E3"/>
    <mergeCell ref="A8:D8"/>
    <mergeCell ref="A9:D9"/>
    <mergeCell ref="A13:E13"/>
  </mergeCells>
  <pageMargins left="0.7" right="0.7" top="0.75" bottom="0.75" header="0.3" footer="0.3"/>
  <pageSetup paperSize="9" scale="95" orientation="portrait" r:id="rId1"/>
  <colBreaks count="1" manualBreakCount="1">
    <brk id="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39"/>
  <sheetViews>
    <sheetView view="pageBreakPreview" topLeftCell="A3" zoomScaleNormal="100" zoomScaleSheetLayoutView="100" workbookViewId="0">
      <selection activeCell="J34" sqref="J34"/>
    </sheetView>
  </sheetViews>
  <sheetFormatPr defaultColWidth="9.140625" defaultRowHeight="15"/>
  <cols>
    <col min="1" max="1" width="20.28515625" style="434" customWidth="1"/>
    <col min="2" max="2" width="11.28515625" style="434" customWidth="1"/>
    <col min="3" max="3" width="14.28515625" style="434" customWidth="1"/>
    <col min="4" max="4" width="10.28515625" style="434" customWidth="1"/>
    <col min="5" max="5" width="12.5703125" style="434" customWidth="1"/>
    <col min="6" max="6" width="9.140625" style="434"/>
    <col min="7" max="7" width="5.42578125" style="434" customWidth="1"/>
    <col min="8" max="8" width="12.5703125" style="434" bestFit="1" customWidth="1"/>
    <col min="9" max="9" width="98.140625" style="434" customWidth="1"/>
    <col min="10" max="10" width="16.42578125" style="434" bestFit="1" customWidth="1"/>
    <col min="11" max="16384" width="9.140625" style="434"/>
  </cols>
  <sheetData>
    <row r="1" spans="1:10" hidden="1"/>
    <row r="2" spans="1:10" hidden="1"/>
    <row r="3" spans="1:10">
      <c r="A3" s="1775" t="s">
        <v>1384</v>
      </c>
      <c r="B3" s="1775"/>
      <c r="C3" s="1775"/>
      <c r="D3" s="1775"/>
      <c r="E3" s="1775"/>
      <c r="F3" s="1775"/>
      <c r="G3" s="1775"/>
      <c r="H3" s="447"/>
    </row>
    <row r="4" spans="1:10">
      <c r="A4" s="1776"/>
      <c r="B4" s="1776"/>
      <c r="C4" s="1776"/>
      <c r="D4" s="1776"/>
      <c r="E4" s="1776"/>
      <c r="F4" s="1776"/>
      <c r="G4" s="1776"/>
    </row>
    <row r="5" spans="1:10" ht="15.75" thickBot="1"/>
    <row r="6" spans="1:10">
      <c r="A6" s="1777" t="s">
        <v>462</v>
      </c>
      <c r="B6" s="1778"/>
      <c r="C6" s="1778"/>
      <c r="D6" s="1778"/>
      <c r="E6" s="1778"/>
      <c r="F6" s="1778"/>
      <c r="G6" s="1779"/>
    </row>
    <row r="7" spans="1:10">
      <c r="A7" s="448"/>
      <c r="B7" s="449"/>
      <c r="C7" s="449"/>
      <c r="D7" s="449"/>
      <c r="E7" s="449"/>
      <c r="F7" s="449"/>
      <c r="G7" s="450"/>
    </row>
    <row r="8" spans="1:10" ht="15" customHeight="1">
      <c r="A8" s="1780" t="s">
        <v>1073</v>
      </c>
      <c r="B8" s="1781"/>
      <c r="C8" s="1781"/>
      <c r="D8" s="1781"/>
      <c r="E8" s="1781"/>
      <c r="F8" s="1781"/>
      <c r="G8" s="1782"/>
      <c r="H8" s="451"/>
      <c r="I8" s="452"/>
    </row>
    <row r="9" spans="1:10">
      <c r="A9" s="453"/>
      <c r="B9" s="451"/>
      <c r="C9" s="451"/>
      <c r="D9" s="451"/>
      <c r="E9" s="451"/>
      <c r="F9" s="451"/>
      <c r="G9" s="454"/>
      <c r="H9" s="451"/>
      <c r="I9" s="452"/>
    </row>
    <row r="10" spans="1:10">
      <c r="A10" s="455" t="s">
        <v>463</v>
      </c>
      <c r="B10" s="451"/>
      <c r="C10" s="1783">
        <v>9567916.3780300003</v>
      </c>
      <c r="D10" s="1783"/>
      <c r="E10" s="456" t="s">
        <v>464</v>
      </c>
      <c r="F10" s="451"/>
      <c r="G10" s="454"/>
      <c r="H10" s="451"/>
      <c r="I10" s="452" t="s">
        <v>1382</v>
      </c>
    </row>
    <row r="11" spans="1:10">
      <c r="A11" s="455"/>
      <c r="B11" s="451"/>
      <c r="C11" s="706"/>
      <c r="D11" s="706"/>
      <c r="E11" s="451"/>
      <c r="F11" s="451"/>
      <c r="G11" s="454"/>
      <c r="H11" s="451"/>
      <c r="I11" s="452"/>
    </row>
    <row r="12" spans="1:10">
      <c r="A12" s="457" t="s">
        <v>465</v>
      </c>
      <c r="B12" s="458" t="s">
        <v>1386</v>
      </c>
      <c r="C12" s="459"/>
      <c r="G12" s="460"/>
      <c r="H12" s="434" t="s">
        <v>1385</v>
      </c>
      <c r="J12" s="459"/>
    </row>
    <row r="13" spans="1:10">
      <c r="A13" s="457"/>
      <c r="C13" s="459"/>
      <c r="G13" s="460"/>
      <c r="I13" s="434" t="s">
        <v>1383</v>
      </c>
      <c r="J13" s="459"/>
    </row>
    <row r="14" spans="1:10">
      <c r="A14" s="461" t="s">
        <v>466</v>
      </c>
      <c r="C14" s="725">
        <v>8832</v>
      </c>
      <c r="D14" s="434" t="s">
        <v>464</v>
      </c>
      <c r="G14" s="460"/>
    </row>
    <row r="15" spans="1:10">
      <c r="A15" s="461"/>
      <c r="G15" s="460"/>
      <c r="H15" s="434">
        <v>9612</v>
      </c>
    </row>
    <row r="16" spans="1:10" ht="15" customHeight="1">
      <c r="A16" s="1762" t="s">
        <v>467</v>
      </c>
      <c r="B16" s="1763"/>
      <c r="C16" s="1763"/>
      <c r="D16" s="1763"/>
      <c r="E16" s="1763"/>
      <c r="F16" s="1763"/>
      <c r="G16" s="1764"/>
      <c r="H16" s="462"/>
    </row>
    <row r="17" spans="1:8" ht="15.75" thickBot="1">
      <c r="A17" s="462"/>
      <c r="B17" s="462"/>
      <c r="C17" s="462"/>
      <c r="D17" s="462"/>
      <c r="E17" s="462"/>
      <c r="F17" s="462"/>
      <c r="G17" s="462"/>
      <c r="H17" s="462"/>
    </row>
    <row r="18" spans="1:8">
      <c r="A18" s="1765" t="s">
        <v>468</v>
      </c>
      <c r="B18" s="1766"/>
      <c r="C18" s="1766"/>
      <c r="D18" s="1766"/>
      <c r="E18" s="1766"/>
      <c r="F18" s="1766"/>
      <c r="G18" s="1767"/>
      <c r="H18" s="462"/>
    </row>
    <row r="19" spans="1:8">
      <c r="A19" s="463"/>
      <c r="B19" s="464"/>
      <c r="C19" s="464"/>
      <c r="D19" s="464"/>
      <c r="E19" s="464"/>
      <c r="F19" s="464"/>
      <c r="G19" s="465"/>
      <c r="H19" s="462"/>
    </row>
    <row r="20" spans="1:8">
      <c r="A20" s="1768" t="s">
        <v>1072</v>
      </c>
      <c r="B20" s="1769"/>
      <c r="C20" s="1769"/>
      <c r="D20" s="1769"/>
      <c r="E20" s="1769"/>
      <c r="F20" s="1769"/>
      <c r="G20" s="1770"/>
    </row>
    <row r="21" spans="1:8">
      <c r="A21" s="461"/>
      <c r="G21" s="460"/>
    </row>
    <row r="22" spans="1:8">
      <c r="A22" s="466" t="s">
        <v>469</v>
      </c>
      <c r="D22" s="467">
        <v>5.1723999999999997</v>
      </c>
      <c r="E22" s="434" t="s">
        <v>470</v>
      </c>
      <c r="G22" s="468"/>
    </row>
    <row r="23" spans="1:8">
      <c r="A23" s="461"/>
      <c r="G23" s="460"/>
    </row>
    <row r="24" spans="1:8">
      <c r="A24" s="461" t="s">
        <v>465</v>
      </c>
      <c r="B24" s="459" t="s">
        <v>1387</v>
      </c>
      <c r="D24" s="726">
        <v>185</v>
      </c>
      <c r="E24" s="434" t="s">
        <v>224</v>
      </c>
      <c r="G24" s="460"/>
    </row>
    <row r="25" spans="1:8">
      <c r="A25" s="461"/>
      <c r="B25" s="459"/>
      <c r="G25" s="460"/>
    </row>
    <row r="26" spans="1:8">
      <c r="A26" s="461" t="s">
        <v>472</v>
      </c>
      <c r="C26" s="725">
        <v>185</v>
      </c>
      <c r="D26" s="434" t="s">
        <v>464</v>
      </c>
      <c r="G26" s="460"/>
      <c r="H26" s="434">
        <v>140</v>
      </c>
    </row>
    <row r="27" spans="1:8">
      <c r="A27" s="461"/>
      <c r="G27" s="460"/>
    </row>
    <row r="28" spans="1:8">
      <c r="A28" s="461"/>
      <c r="G28" s="460"/>
    </row>
    <row r="29" spans="1:8">
      <c r="A29" s="1771" t="s">
        <v>473</v>
      </c>
      <c r="B29" s="1772"/>
      <c r="C29" s="1772"/>
      <c r="D29" s="1772"/>
      <c r="E29" s="1772"/>
      <c r="F29" s="1772"/>
      <c r="G29" s="1773"/>
    </row>
    <row r="30" spans="1:8">
      <c r="A30" s="469" t="s">
        <v>625</v>
      </c>
      <c r="B30" s="707"/>
      <c r="C30" s="707"/>
      <c r="D30" s="707"/>
      <c r="E30" s="707"/>
      <c r="F30" s="707"/>
      <c r="G30" s="708"/>
    </row>
    <row r="31" spans="1:8">
      <c r="A31" s="1774"/>
      <c r="B31" s="1774"/>
      <c r="C31" s="1774"/>
      <c r="D31" s="1774"/>
      <c r="E31" s="1774"/>
      <c r="F31" s="1774"/>
      <c r="G31" s="1774"/>
    </row>
    <row r="32" spans="1:8">
      <c r="A32" s="674" t="s">
        <v>640</v>
      </c>
      <c r="B32" s="674"/>
      <c r="E32" s="674" t="s">
        <v>1167</v>
      </c>
      <c r="F32" s="674"/>
      <c r="G32" s="917"/>
      <c r="H32" s="674"/>
    </row>
    <row r="33" spans="1:10">
      <c r="A33" s="674"/>
      <c r="B33" s="674"/>
      <c r="C33" s="915"/>
      <c r="D33" s="916"/>
      <c r="E33" s="674"/>
      <c r="F33" s="674"/>
      <c r="G33" s="917"/>
      <c r="H33" s="673"/>
      <c r="J33" s="917"/>
    </row>
    <row r="34" spans="1:10">
      <c r="A34" s="674"/>
      <c r="B34" s="674"/>
      <c r="C34" s="915"/>
      <c r="D34" s="916"/>
      <c r="E34" s="674"/>
      <c r="F34" s="674"/>
      <c r="G34" s="917"/>
      <c r="H34" s="674"/>
      <c r="J34" s="917"/>
    </row>
    <row r="35" spans="1:10">
      <c r="A35" s="674" t="s">
        <v>1166</v>
      </c>
      <c r="B35" s="674"/>
      <c r="C35" s="915"/>
      <c r="D35" s="916"/>
      <c r="E35" s="1009" t="s">
        <v>1168</v>
      </c>
      <c r="F35" s="1009"/>
      <c r="G35" s="917"/>
      <c r="H35" s="674"/>
      <c r="J35" s="917"/>
    </row>
    <row r="36" spans="1:10">
      <c r="A36" s="674"/>
      <c r="B36" s="674"/>
      <c r="C36" s="915"/>
      <c r="D36" s="916"/>
      <c r="E36" s="674"/>
      <c r="F36" s="917"/>
      <c r="G36" s="917"/>
      <c r="H36" s="917"/>
      <c r="J36" s="917"/>
    </row>
    <row r="37" spans="1:10">
      <c r="A37" s="674"/>
      <c r="B37" s="674"/>
      <c r="C37" s="915"/>
      <c r="D37" s="916"/>
      <c r="E37" s="674"/>
      <c r="F37" s="917"/>
      <c r="G37" s="917"/>
      <c r="H37" s="917"/>
      <c r="J37" s="917"/>
    </row>
    <row r="38" spans="1:10">
      <c r="A38" s="673"/>
      <c r="B38" s="673"/>
      <c r="C38" s="459"/>
      <c r="D38" s="916"/>
      <c r="E38" s="673"/>
      <c r="F38" s="917"/>
      <c r="G38" s="917"/>
      <c r="H38" s="917"/>
      <c r="J38" s="917"/>
    </row>
    <row r="39" spans="1:10">
      <c r="A39" s="674"/>
      <c r="B39" s="673"/>
      <c r="C39" s="915"/>
      <c r="D39" s="916"/>
      <c r="E39" s="674"/>
      <c r="F39" s="917"/>
      <c r="G39" s="917"/>
      <c r="H39" s="917"/>
      <c r="J39" s="917"/>
    </row>
  </sheetData>
  <mergeCells count="10">
    <mergeCell ref="A3:G3"/>
    <mergeCell ref="A4:G4"/>
    <mergeCell ref="A6:G6"/>
    <mergeCell ref="A8:G8"/>
    <mergeCell ref="C10:D10"/>
    <mergeCell ref="A16:G16"/>
    <mergeCell ref="A18:G18"/>
    <mergeCell ref="A20:G20"/>
    <mergeCell ref="A29:G29"/>
    <mergeCell ref="A31:G3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79998168889431442"/>
  </sheetPr>
  <dimension ref="A1:AC94"/>
  <sheetViews>
    <sheetView view="pageBreakPreview" topLeftCell="S73" zoomScale="60" zoomScaleNormal="70" workbookViewId="0">
      <selection activeCell="N84" sqref="N84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hidden="1" customWidth="1"/>
    <col min="8" max="8" width="6.5703125" style="1120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4.710937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1292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 ht="18.75" customHeight="1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793" t="s">
        <v>278</v>
      </c>
      <c r="S7" s="1794"/>
      <c r="T7" s="1794"/>
      <c r="U7" s="1794"/>
      <c r="V7" s="1794"/>
      <c r="W7" s="1794"/>
      <c r="X7" s="1794"/>
      <c r="Y7" s="1794"/>
      <c r="Z7" s="1794"/>
      <c r="AA7" s="1795"/>
      <c r="AB7" s="1784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793" t="s">
        <v>280</v>
      </c>
      <c r="S8" s="1795"/>
      <c r="T8" s="1793" t="s">
        <v>285</v>
      </c>
      <c r="U8" s="1795"/>
      <c r="V8" s="1793" t="s">
        <v>286</v>
      </c>
      <c r="W8" s="1795"/>
      <c r="X8" s="1793" t="s">
        <v>283</v>
      </c>
      <c r="Y8" s="1795"/>
      <c r="Z8" s="1784" t="s">
        <v>287</v>
      </c>
      <c r="AA8" s="1784" t="s">
        <v>290</v>
      </c>
      <c r="AB8" s="178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27" t="s">
        <v>291</v>
      </c>
      <c r="S9" s="1227" t="s">
        <v>292</v>
      </c>
      <c r="T9" s="1227" t="s">
        <v>294</v>
      </c>
      <c r="U9" s="1227" t="s">
        <v>292</v>
      </c>
      <c r="V9" s="1227" t="s">
        <v>296</v>
      </c>
      <c r="W9" s="1227" t="s">
        <v>292</v>
      </c>
      <c r="X9" s="1227" t="s">
        <v>297</v>
      </c>
      <c r="Y9" s="1227" t="s">
        <v>4</v>
      </c>
      <c r="Z9" s="1786"/>
      <c r="AA9" s="1786"/>
      <c r="AB9" s="1786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/>
      <c r="H11" s="1125">
        <v>3</v>
      </c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1297353.6000000001</v>
      </c>
      <c r="T11" s="1130">
        <f>60*$AB$4</f>
        <v>27028.2</v>
      </c>
      <c r="U11" s="1131">
        <f>T11*F11*(G11+H11)</f>
        <v>973015.20000000007</v>
      </c>
      <c r="V11" s="1133">
        <v>657</v>
      </c>
      <c r="W11" s="1131">
        <f t="shared" ref="W11:W14" si="1">V11*(G11+H11)*F11</f>
        <v>23652</v>
      </c>
      <c r="X11" s="1134">
        <v>267695</v>
      </c>
      <c r="Y11" s="1131">
        <f>X11*(G11+H11)</f>
        <v>803085</v>
      </c>
      <c r="Z11" s="1130"/>
      <c r="AA11" s="1135">
        <f>S11+U11+W11+Y11+Z11</f>
        <v>3097105.8000000003</v>
      </c>
      <c r="AB11" s="1135">
        <f t="shared" ref="AB11:AB14" si="2">AA11+Q11</f>
        <v>3097105.8000000003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/>
      <c r="H12" s="1125">
        <v>3</v>
      </c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432451.20000000007</v>
      </c>
      <c r="T12" s="1130">
        <f>60*$AB$4</f>
        <v>27028.2</v>
      </c>
      <c r="U12" s="1131">
        <f>T12*F12*(G12+H12)</f>
        <v>324338.40000000002</v>
      </c>
      <c r="V12" s="1133">
        <v>657</v>
      </c>
      <c r="W12" s="1131">
        <f t="shared" si="1"/>
        <v>7884</v>
      </c>
      <c r="X12" s="1134">
        <v>267695</v>
      </c>
      <c r="Y12" s="1131">
        <f>X12*(G12+H12)</f>
        <v>803085</v>
      </c>
      <c r="Z12" s="1130"/>
      <c r="AA12" s="1135">
        <f t="shared" ref="AA12:AA14" si="3">S12+U12+W12+Y12+Z12</f>
        <v>1567758.6</v>
      </c>
      <c r="AB12" s="1135">
        <f t="shared" si="2"/>
        <v>1567758.6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/>
      <c r="H13" s="1139">
        <v>3</v>
      </c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1297353.6000000001</v>
      </c>
      <c r="T13" s="1132">
        <f>60*$AB$4</f>
        <v>27028.2</v>
      </c>
      <c r="U13" s="1131">
        <f>T13*F13*(G13+H13)</f>
        <v>973015.20000000007</v>
      </c>
      <c r="V13" s="1132">
        <v>1889</v>
      </c>
      <c r="W13" s="1131">
        <f t="shared" si="1"/>
        <v>68004</v>
      </c>
      <c r="X13" s="1134">
        <v>389563</v>
      </c>
      <c r="Y13" s="1131">
        <f>X13*(G13+H13)</f>
        <v>1168689</v>
      </c>
      <c r="Z13" s="1130">
        <f>80*$AB$5*(G72+H72)</f>
        <v>117314.40000000001</v>
      </c>
      <c r="AA13" s="1135">
        <f t="shared" si="3"/>
        <v>3624376.2</v>
      </c>
      <c r="AB13" s="1135">
        <f t="shared" si="2"/>
        <v>3624376.2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/>
      <c r="H14" s="1139">
        <v>3</v>
      </c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540564.00000000012</v>
      </c>
      <c r="T14" s="1130">
        <f>60*$AB$4</f>
        <v>27028.2</v>
      </c>
      <c r="U14" s="1131">
        <f>T14*F14*(G14+H14)</f>
        <v>405423</v>
      </c>
      <c r="V14" s="1132">
        <v>1889</v>
      </c>
      <c r="W14" s="1131">
        <f t="shared" si="1"/>
        <v>28335</v>
      </c>
      <c r="X14" s="1134">
        <v>389563</v>
      </c>
      <c r="Y14" s="1131">
        <f>X14*(G14+H14)</f>
        <v>1168689</v>
      </c>
      <c r="Z14" s="1130">
        <f>80*$AB$5*(G73+H73)</f>
        <v>0</v>
      </c>
      <c r="AA14" s="1135">
        <f t="shared" si="3"/>
        <v>2143011</v>
      </c>
      <c r="AB14" s="1135">
        <f t="shared" si="2"/>
        <v>2143011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28"/>
      <c r="S15" s="1145">
        <f>SUM(S11:S14)</f>
        <v>3567722.4000000004</v>
      </c>
      <c r="T15" s="1228"/>
      <c r="U15" s="1145">
        <f>SUM(U11:U14)</f>
        <v>2675791.8000000003</v>
      </c>
      <c r="V15" s="1228"/>
      <c r="W15" s="1145">
        <f>SUM(W11:W14)</f>
        <v>127875</v>
      </c>
      <c r="X15" s="1228"/>
      <c r="Y15" s="1145">
        <f>SUM(Y11:Y14)</f>
        <v>3943548</v>
      </c>
      <c r="Z15" s="1145">
        <f>SUM(Z11:Z14)</f>
        <v>117314.40000000001</v>
      </c>
      <c r="AA15" s="1145">
        <f>SUM(AA11:AA14)</f>
        <v>10432251.600000001</v>
      </c>
      <c r="AB15" s="1145">
        <f>SUM(AB11:AB14)</f>
        <v>10432251.600000001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/>
      <c r="H17" s="1125">
        <v>3</v>
      </c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1513579.2000000002</v>
      </c>
      <c r="T17" s="1132">
        <f>60*$AB$4</f>
        <v>27028.2</v>
      </c>
      <c r="U17" s="1131">
        <f>T17*F17*(G17+H17)</f>
        <v>1135184.3999999999</v>
      </c>
      <c r="V17" s="1133">
        <v>657</v>
      </c>
      <c r="W17" s="1131">
        <f t="shared" ref="W17:W20" si="5">V17*(G17+H17)*F17</f>
        <v>27594</v>
      </c>
      <c r="X17" s="1134">
        <v>267695</v>
      </c>
      <c r="Y17" s="1131">
        <f>X17*(G17+H17)</f>
        <v>803085</v>
      </c>
      <c r="Z17" s="1130"/>
      <c r="AA17" s="1135">
        <f t="shared" ref="AA17:AA20" si="6">S17+U17+W17+Y17+Z17</f>
        <v>3479442.6</v>
      </c>
      <c r="AB17" s="1148">
        <f t="shared" ref="AB17:AB20" si="7">Q17+AA17</f>
        <v>3479442.6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1436</v>
      </c>
      <c r="F18" s="1127">
        <v>15</v>
      </c>
      <c r="G18" s="1128"/>
      <c r="H18" s="1125">
        <v>3</v>
      </c>
      <c r="I18" s="1127">
        <v>12000</v>
      </c>
      <c r="J18" s="1129">
        <f>(G18+H18)*I18*14</f>
        <v>504000</v>
      </c>
      <c r="K18" s="1149">
        <f>2.5*3932</f>
        <v>9830</v>
      </c>
      <c r="L18" s="1127">
        <f t="shared" ref="L18:L19" si="8">K18*F18*G18</f>
        <v>0</v>
      </c>
      <c r="M18" s="1124">
        <f>2*3932</f>
        <v>7864</v>
      </c>
      <c r="N18" s="1124">
        <f t="shared" ref="N18:N19" si="9">M18*H18*F18</f>
        <v>353880</v>
      </c>
      <c r="O18" s="1124">
        <v>10000</v>
      </c>
      <c r="P18" s="1124">
        <f>O18*(H18+G18)*2</f>
        <v>60000</v>
      </c>
      <c r="Q18" s="1124">
        <f t="shared" si="4"/>
        <v>917880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917880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1436</v>
      </c>
      <c r="F19" s="1127">
        <v>15</v>
      </c>
      <c r="G19" s="1128"/>
      <c r="H19" s="1125">
        <v>3</v>
      </c>
      <c r="I19" s="1127">
        <v>12000</v>
      </c>
      <c r="J19" s="1129">
        <f>(G19+H19)*I19*14</f>
        <v>504000</v>
      </c>
      <c r="K19" s="1149">
        <f>2.5*3932</f>
        <v>9830</v>
      </c>
      <c r="L19" s="1127">
        <f t="shared" si="8"/>
        <v>0</v>
      </c>
      <c r="M19" s="1124">
        <f>2*3932</f>
        <v>7864</v>
      </c>
      <c r="N19" s="1124">
        <f t="shared" si="9"/>
        <v>353880</v>
      </c>
      <c r="O19" s="1124">
        <v>10000</v>
      </c>
      <c r="P19" s="1124">
        <f>O19*(H19+G19)*2</f>
        <v>60000</v>
      </c>
      <c r="Q19" s="1124">
        <f t="shared" si="4"/>
        <v>917880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917880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/>
      <c r="H20" s="1125">
        <v>3</v>
      </c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100*$AB$6</f>
        <v>51365</v>
      </c>
      <c r="S20" s="1131">
        <f>R20*F20*(G20+H20)</f>
        <v>924570</v>
      </c>
      <c r="T20" s="1130">
        <f>80*$AB$4</f>
        <v>36037.600000000006</v>
      </c>
      <c r="U20" s="1131">
        <f>T20*F20*(G20+H20)</f>
        <v>648676.80000000005</v>
      </c>
      <c r="V20" s="54">
        <v>1029</v>
      </c>
      <c r="W20" s="1131">
        <f t="shared" si="5"/>
        <v>18522</v>
      </c>
      <c r="X20" s="1130">
        <v>580237</v>
      </c>
      <c r="Y20" s="1131">
        <f>X20*(G20+H20)</f>
        <v>1740711</v>
      </c>
      <c r="Z20" s="1130">
        <f>67.5*$AB$4*(G20+H20)</f>
        <v>91220.175000000003</v>
      </c>
      <c r="AA20" s="1135">
        <f t="shared" si="6"/>
        <v>3423699.9749999996</v>
      </c>
      <c r="AB20" s="1148">
        <f t="shared" si="7"/>
        <v>3423699.9749999996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1008000</v>
      </c>
      <c r="K21" s="1152"/>
      <c r="L21" s="1152">
        <f>SUM(L17:L20)</f>
        <v>0</v>
      </c>
      <c r="M21" s="1152"/>
      <c r="N21" s="1152">
        <f>SUM(N17:N20)</f>
        <v>707760</v>
      </c>
      <c r="O21" s="1152"/>
      <c r="P21" s="1152">
        <f>SUM(P17:P20)</f>
        <v>120000</v>
      </c>
      <c r="Q21" s="1152">
        <f>SUM(Q17:Q20)</f>
        <v>1835760</v>
      </c>
      <c r="R21" s="1152"/>
      <c r="S21" s="1152">
        <f>SUM(S17:S20)</f>
        <v>2438149.2000000002</v>
      </c>
      <c r="T21" s="1152"/>
      <c r="U21" s="1152">
        <f>SUM(U17:U20)</f>
        <v>1783861.2</v>
      </c>
      <c r="V21" s="1152"/>
      <c r="W21" s="1152">
        <f>SUM(W17:W20)</f>
        <v>46116</v>
      </c>
      <c r="X21" s="1152"/>
      <c r="Y21" s="1152">
        <f>SUM(Y17:Y20)</f>
        <v>2543796</v>
      </c>
      <c r="Z21" s="1152">
        <f>SUM(Z17:Z20)</f>
        <v>91220.175000000003</v>
      </c>
      <c r="AA21" s="1152">
        <f>SUM(AA17:AA20)</f>
        <v>6903142.5749999993</v>
      </c>
      <c r="AB21" s="1152">
        <f>SUM(AB17:AB20)</f>
        <v>8738902.5749999993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/>
      <c r="H23" s="1149">
        <v>2</v>
      </c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432451.20000000007</v>
      </c>
      <c r="T23" s="1130">
        <v>28000</v>
      </c>
      <c r="U23" s="1127">
        <f>T23*F23*(G23+H23)</f>
        <v>336000</v>
      </c>
      <c r="V23" s="1132">
        <v>1029</v>
      </c>
      <c r="W23" s="1127">
        <f t="shared" ref="W23:W28" si="11">V23*(G23+H23)*F23</f>
        <v>12348</v>
      </c>
      <c r="X23" s="1132">
        <v>384356</v>
      </c>
      <c r="Y23" s="1131">
        <f>X23*(G23+H23)</f>
        <v>768712</v>
      </c>
      <c r="Z23" s="1130"/>
      <c r="AA23" s="1135">
        <f t="shared" ref="AA23:AA28" si="12">S23+U23+W23+Y23+Z23</f>
        <v>1549511.2000000002</v>
      </c>
      <c r="AB23" s="1149">
        <f t="shared" ref="AB23:AB28" si="13">Q23+AA23</f>
        <v>1549511.2000000002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1437</v>
      </c>
      <c r="F24" s="1127">
        <v>15</v>
      </c>
      <c r="G24" s="1149"/>
      <c r="H24" s="1149">
        <v>2</v>
      </c>
      <c r="I24" s="1127">
        <v>12000</v>
      </c>
      <c r="J24" s="1129">
        <f t="shared" ref="J24" si="14">(G24+H24)*I24*F24</f>
        <v>360000</v>
      </c>
      <c r="K24" s="1149">
        <f>2.5*3932</f>
        <v>9830</v>
      </c>
      <c r="L24" s="1127">
        <f t="shared" ref="L24" si="15">K24*F24*G24</f>
        <v>0</v>
      </c>
      <c r="M24" s="1124">
        <f>2*3932</f>
        <v>7864</v>
      </c>
      <c r="N24" s="1124">
        <f t="shared" ref="N24" si="16">M24*H24*F24</f>
        <v>235920</v>
      </c>
      <c r="O24" s="1124">
        <v>10000</v>
      </c>
      <c r="P24" s="1124">
        <f>O24*(H24+G24)*2</f>
        <v>40000</v>
      </c>
      <c r="Q24" s="1124">
        <f t="shared" si="10"/>
        <v>635920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635920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/>
      <c r="H25" s="1149">
        <v>2</v>
      </c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432451.20000000007</v>
      </c>
      <c r="T25" s="1130">
        <v>28000</v>
      </c>
      <c r="U25" s="1127">
        <f>T25*F25*(G25+H25)</f>
        <v>336000</v>
      </c>
      <c r="V25" s="1132">
        <v>1889</v>
      </c>
      <c r="W25" s="1127">
        <f t="shared" si="11"/>
        <v>22668</v>
      </c>
      <c r="X25" s="1132">
        <v>805167</v>
      </c>
      <c r="Y25" s="1127">
        <f>X25*(G25+H25)</f>
        <v>1610334</v>
      </c>
      <c r="Z25" s="1130">
        <f>80*$AB$5*(G25+H25)</f>
        <v>78209.600000000006</v>
      </c>
      <c r="AA25" s="1149">
        <f t="shared" si="12"/>
        <v>2479662.8000000003</v>
      </c>
      <c r="AB25" s="1149">
        <f t="shared" si="13"/>
        <v>2479662.8000000003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/>
      <c r="H26" s="1149">
        <v>2</v>
      </c>
      <c r="I26" s="1127">
        <v>12000</v>
      </c>
      <c r="J26" s="1129">
        <f t="shared" ref="J26:J27" si="17">(G26+H26)*I26*F26</f>
        <v>360000</v>
      </c>
      <c r="K26" s="1149">
        <f>2.5*3932</f>
        <v>9830</v>
      </c>
      <c r="L26" s="1127">
        <f t="shared" ref="L26:L27" si="18">K26*F26*G26</f>
        <v>0</v>
      </c>
      <c r="M26" s="1124">
        <f>2*3932</f>
        <v>7864</v>
      </c>
      <c r="N26" s="1124">
        <f t="shared" ref="N26:N27" si="19">M26*H26*F26</f>
        <v>235920</v>
      </c>
      <c r="O26" s="1124">
        <v>10000</v>
      </c>
      <c r="P26" s="1124">
        <f>O26*(H26+G26)*2</f>
        <v>40000</v>
      </c>
      <c r="Q26" s="1124">
        <f t="shared" si="10"/>
        <v>635920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635920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1437</v>
      </c>
      <c r="F27" s="1127">
        <v>14</v>
      </c>
      <c r="G27" s="1149"/>
      <c r="H27" s="1149">
        <v>2</v>
      </c>
      <c r="I27" s="1127">
        <v>12000</v>
      </c>
      <c r="J27" s="1137">
        <f t="shared" si="17"/>
        <v>336000</v>
      </c>
      <c r="K27" s="1149">
        <f>2.5*3932</f>
        <v>9830</v>
      </c>
      <c r="L27" s="1131">
        <f t="shared" si="18"/>
        <v>0</v>
      </c>
      <c r="M27" s="1138">
        <f>2*3932</f>
        <v>7864</v>
      </c>
      <c r="N27" s="1138">
        <f t="shared" si="19"/>
        <v>220192</v>
      </c>
      <c r="O27" s="1124">
        <v>10000</v>
      </c>
      <c r="P27" s="1124">
        <f>O27*(H27+G27)*2</f>
        <v>40000</v>
      </c>
      <c r="Q27" s="1138">
        <f t="shared" si="10"/>
        <v>596192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596192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/>
      <c r="H28" s="1149">
        <v>2</v>
      </c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504526.40000000008</v>
      </c>
      <c r="T28" s="1130">
        <v>28000</v>
      </c>
      <c r="U28" s="1131">
        <f>T28*F28*(G28+H28)</f>
        <v>392000</v>
      </c>
      <c r="V28" s="1132">
        <v>1889</v>
      </c>
      <c r="W28" s="1131">
        <f t="shared" si="11"/>
        <v>26446</v>
      </c>
      <c r="X28" s="1130">
        <v>685846</v>
      </c>
      <c r="Y28" s="1131">
        <f>X28*(G28+H28)</f>
        <v>1371692</v>
      </c>
      <c r="Z28" s="1130">
        <f>80*$AB$5*(G28+H28)</f>
        <v>78209.600000000006</v>
      </c>
      <c r="AA28" s="1135">
        <f t="shared" si="12"/>
        <v>2372874.0000000005</v>
      </c>
      <c r="AB28" s="1149">
        <f t="shared" si="13"/>
        <v>2372874.0000000005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1056000</v>
      </c>
      <c r="K29" s="1145"/>
      <c r="L29" s="1145">
        <f>SUM(L23:L28)</f>
        <v>0</v>
      </c>
      <c r="M29" s="1145"/>
      <c r="N29" s="1145">
        <f>SUM(N23:N28)</f>
        <v>692032</v>
      </c>
      <c r="O29" s="1213"/>
      <c r="P29" s="1145">
        <f>SUM(P23:P28)</f>
        <v>120000</v>
      </c>
      <c r="Q29" s="1145">
        <f>SUM(Q23:Q28)</f>
        <v>1868032</v>
      </c>
      <c r="R29" s="1228"/>
      <c r="S29" s="1145">
        <f>SUM(S23:S28)</f>
        <v>1369428.8000000003</v>
      </c>
      <c r="T29" s="1228"/>
      <c r="U29" s="1145">
        <f>SUM(U23:U28)</f>
        <v>1064000</v>
      </c>
      <c r="V29" s="1228"/>
      <c r="W29" s="1145">
        <f>SUM(W23:W28)</f>
        <v>61462</v>
      </c>
      <c r="X29" s="1228"/>
      <c r="Y29" s="1145">
        <f>SUM(Y23:Y28)</f>
        <v>3750738</v>
      </c>
      <c r="Z29" s="1145">
        <f>SUM(Z23:Z28)</f>
        <v>156419.20000000001</v>
      </c>
      <c r="AA29" s="1145">
        <f>SUM(AA23:AA28)</f>
        <v>6402048.0000000009</v>
      </c>
      <c r="AB29" s="1145">
        <f>SUM(AB23:AB28)</f>
        <v>8270080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1437</v>
      </c>
      <c r="F31" s="1127">
        <v>15</v>
      </c>
      <c r="G31" s="1129"/>
      <c r="H31" s="1129">
        <v>2</v>
      </c>
      <c r="I31" s="1127">
        <v>12000</v>
      </c>
      <c r="J31" s="1129">
        <f t="shared" ref="J31" si="20">(G31+H31)*I31*F31</f>
        <v>360000</v>
      </c>
      <c r="K31" s="1149">
        <f>2.5*3932</f>
        <v>9830</v>
      </c>
      <c r="L31" s="1127">
        <f t="shared" ref="L31" si="21">K31*F31*G31</f>
        <v>0</v>
      </c>
      <c r="M31" s="1124">
        <f>2*3932</f>
        <v>7864</v>
      </c>
      <c r="N31" s="1124">
        <f t="shared" ref="N31" si="22">M31*H31*F31</f>
        <v>235920</v>
      </c>
      <c r="O31" s="1124">
        <v>10000</v>
      </c>
      <c r="P31" s="1124">
        <f>O31*(H31+G31)*2</f>
        <v>40000</v>
      </c>
      <c r="Q31" s="1124">
        <f t="shared" ref="Q31:Q36" si="23">SUM(J31+L31+N31+P31)</f>
        <v>635920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635920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/>
      <c r="H32" s="1149">
        <v>2</v>
      </c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432451.20000000007</v>
      </c>
      <c r="T32" s="1130">
        <v>28000</v>
      </c>
      <c r="U32" s="1127">
        <f>T32*F32*(G32+H32)</f>
        <v>336000</v>
      </c>
      <c r="V32" s="1132">
        <v>1029</v>
      </c>
      <c r="W32" s="1127">
        <f t="shared" si="24"/>
        <v>12348</v>
      </c>
      <c r="X32" s="1132">
        <v>384356</v>
      </c>
      <c r="Y32" s="1131">
        <f>X32*(G32+H32)</f>
        <v>768712</v>
      </c>
      <c r="Z32" s="1130"/>
      <c r="AA32" s="1135">
        <f t="shared" si="25"/>
        <v>1549511.2000000002</v>
      </c>
      <c r="AB32" s="1149">
        <f t="shared" si="26"/>
        <v>1549511.2000000002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/>
      <c r="H33" s="1149">
        <v>2</v>
      </c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432451.20000000007</v>
      </c>
      <c r="T33" s="1130">
        <v>28000</v>
      </c>
      <c r="U33" s="1127">
        <f>T33*F33*(G33+H33)</f>
        <v>336000</v>
      </c>
      <c r="V33" s="1132">
        <v>1889</v>
      </c>
      <c r="W33" s="1127">
        <f t="shared" si="24"/>
        <v>22668</v>
      </c>
      <c r="X33" s="1132">
        <v>805167</v>
      </c>
      <c r="Y33" s="1127">
        <f>X33*(G33+H33)</f>
        <v>1610334</v>
      </c>
      <c r="Z33" s="1130">
        <f>80*$AB$5*(G33+H33)</f>
        <v>78209.600000000006</v>
      </c>
      <c r="AA33" s="1149">
        <f t="shared" si="25"/>
        <v>2479662.8000000003</v>
      </c>
      <c r="AB33" s="1149">
        <f t="shared" si="26"/>
        <v>2479662.8000000003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/>
      <c r="H34" s="1129">
        <v>2</v>
      </c>
      <c r="I34" s="1127">
        <v>12000</v>
      </c>
      <c r="J34" s="1129">
        <f t="shared" ref="J34:J35" si="27">(G34+H34)*I34*F34</f>
        <v>360000</v>
      </c>
      <c r="K34" s="1149">
        <f>2.5*3932</f>
        <v>9830</v>
      </c>
      <c r="L34" s="1127">
        <f t="shared" ref="L34:L35" si="28">K34*F34*G34</f>
        <v>0</v>
      </c>
      <c r="M34" s="1124">
        <f>2*3932</f>
        <v>7864</v>
      </c>
      <c r="N34" s="1124">
        <f t="shared" ref="N34:N35" si="29">M34*H34*F34</f>
        <v>235920</v>
      </c>
      <c r="O34" s="1124">
        <v>10000</v>
      </c>
      <c r="P34" s="1124">
        <f>O34*(H34+G34)*2</f>
        <v>40000</v>
      </c>
      <c r="Q34" s="1124">
        <f t="shared" si="23"/>
        <v>635920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635920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1437</v>
      </c>
      <c r="F35" s="1127">
        <v>14</v>
      </c>
      <c r="G35" s="1129"/>
      <c r="H35" s="1129">
        <v>2</v>
      </c>
      <c r="I35" s="1127">
        <v>12000</v>
      </c>
      <c r="J35" s="1129">
        <f t="shared" si="27"/>
        <v>336000</v>
      </c>
      <c r="K35" s="1149">
        <f>2.5*3932</f>
        <v>9830</v>
      </c>
      <c r="L35" s="1127">
        <f t="shared" si="28"/>
        <v>0</v>
      </c>
      <c r="M35" s="1124">
        <f>2*3932</f>
        <v>7864</v>
      </c>
      <c r="N35" s="1124">
        <f t="shared" si="29"/>
        <v>220192</v>
      </c>
      <c r="O35" s="1124">
        <v>10000</v>
      </c>
      <c r="P35" s="1124">
        <f>O35*(H35+G35)*2</f>
        <v>40000</v>
      </c>
      <c r="Q35" s="1124">
        <f t="shared" si="23"/>
        <v>596192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596192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/>
      <c r="H36" s="1129">
        <v>2</v>
      </c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504526.40000000008</v>
      </c>
      <c r="T36" s="1130">
        <v>28000</v>
      </c>
      <c r="U36" s="1131">
        <f>T36*F36*(G36+H36)</f>
        <v>392000</v>
      </c>
      <c r="V36" s="1132">
        <v>1889</v>
      </c>
      <c r="W36" s="1131">
        <f t="shared" si="24"/>
        <v>26446</v>
      </c>
      <c r="X36" s="1130">
        <v>685846</v>
      </c>
      <c r="Y36" s="1131">
        <f>X36*(G36+H36)</f>
        <v>1371692</v>
      </c>
      <c r="Z36" s="1130">
        <f>80*$AB$5*(G36+H36)</f>
        <v>78209.600000000006</v>
      </c>
      <c r="AA36" s="1135">
        <f t="shared" si="25"/>
        <v>2372874.0000000005</v>
      </c>
      <c r="AB36" s="1149">
        <f t="shared" si="26"/>
        <v>2372874.0000000005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1056000</v>
      </c>
      <c r="K37" s="1152"/>
      <c r="L37" s="1152">
        <f>SUM(L31:L36)</f>
        <v>0</v>
      </c>
      <c r="M37" s="1152"/>
      <c r="N37" s="1152">
        <f>SUM(N31:N36)</f>
        <v>692032</v>
      </c>
      <c r="O37" s="1152"/>
      <c r="P37" s="1152">
        <f>SUM(P31:P36)</f>
        <v>120000</v>
      </c>
      <c r="Q37" s="1152">
        <f>SUM(Q31:Q36)</f>
        <v>1868032</v>
      </c>
      <c r="R37" s="1152"/>
      <c r="S37" s="1152">
        <f>SUM(S31:S36)</f>
        <v>1369428.8000000003</v>
      </c>
      <c r="T37" s="1152"/>
      <c r="U37" s="1152">
        <f>SUM(U31:U36)</f>
        <v>1064000</v>
      </c>
      <c r="V37" s="1152"/>
      <c r="W37" s="1152">
        <f>SUM(W31:W36)</f>
        <v>61462</v>
      </c>
      <c r="X37" s="1152"/>
      <c r="Y37" s="1152">
        <f>SUM(Y31:Y36)</f>
        <v>3750738</v>
      </c>
      <c r="Z37" s="1152">
        <f>SUM(Z31:Z36)</f>
        <v>156419.20000000001</v>
      </c>
      <c r="AA37" s="1152">
        <f>SUM(AA31:AA36)</f>
        <v>6402048.0000000009</v>
      </c>
      <c r="AB37" s="1152">
        <f>SUM(AB31:AB36)</f>
        <v>8270080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/>
      <c r="H39" s="1157">
        <v>2</v>
      </c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432451.20000000007</v>
      </c>
      <c r="T39" s="1130">
        <v>28000</v>
      </c>
      <c r="U39" s="1131">
        <f>T39*F39*(G39+H39)</f>
        <v>336000</v>
      </c>
      <c r="V39" s="1130">
        <v>657</v>
      </c>
      <c r="W39" s="1131">
        <f t="shared" ref="W39:W43" si="31">V39*(G39+H39)*F39</f>
        <v>7884</v>
      </c>
      <c r="X39" s="1132">
        <v>366914</v>
      </c>
      <c r="Y39" s="1131">
        <f>X39*(G39+H39)</f>
        <v>733828</v>
      </c>
      <c r="Z39" s="1130"/>
      <c r="AA39" s="1135">
        <f t="shared" ref="AA39:AA43" si="32">S39+U39+W39+Y39+Z39</f>
        <v>1510163.2000000002</v>
      </c>
      <c r="AB39" s="1135">
        <f>AA39+Q39</f>
        <v>1510163.2000000002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/>
      <c r="H40" s="1157">
        <v>2</v>
      </c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432451.20000000007</v>
      </c>
      <c r="T40" s="1130">
        <v>28000</v>
      </c>
      <c r="U40" s="1131">
        <f>T40*F40*(G40+H40)</f>
        <v>336000</v>
      </c>
      <c r="V40" s="1130">
        <v>1889</v>
      </c>
      <c r="W40" s="1131">
        <f t="shared" si="31"/>
        <v>22668</v>
      </c>
      <c r="X40" s="1130">
        <v>685846</v>
      </c>
      <c r="Y40" s="1131">
        <f>X40*(G40+H40)</f>
        <v>1371692</v>
      </c>
      <c r="Z40" s="1130">
        <f>80*$AB$5*(G40+H40)</f>
        <v>78209.600000000006</v>
      </c>
      <c r="AA40" s="1135">
        <f t="shared" si="32"/>
        <v>2241020.8000000003</v>
      </c>
      <c r="AB40" s="1135">
        <f t="shared" ref="AB40:AB43" si="33">AA40+Q40</f>
        <v>2241020.8000000003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/>
      <c r="H41" s="1157">
        <v>2</v>
      </c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720752.00000000012</v>
      </c>
      <c r="T41" s="1130">
        <v>28000</v>
      </c>
      <c r="U41" s="1138">
        <f>T41*F41*(G41+H41)</f>
        <v>560000</v>
      </c>
      <c r="V41" s="1138">
        <v>657</v>
      </c>
      <c r="W41" s="1138">
        <f t="shared" si="31"/>
        <v>13140</v>
      </c>
      <c r="X41" s="1130">
        <v>305578</v>
      </c>
      <c r="Y41" s="1138">
        <f>X41*(G41+H41)</f>
        <v>611156</v>
      </c>
      <c r="Z41" s="1138"/>
      <c r="AA41" s="1135">
        <f t="shared" si="32"/>
        <v>1905048</v>
      </c>
      <c r="AB41" s="1135">
        <f t="shared" si="33"/>
        <v>1905048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/>
      <c r="H42" s="1157">
        <v>2</v>
      </c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432451.20000000007</v>
      </c>
      <c r="T42" s="1130">
        <v>28000</v>
      </c>
      <c r="U42" s="1131">
        <f>T42*F42*(G42+H42)</f>
        <v>336000</v>
      </c>
      <c r="V42" s="1130">
        <v>1889</v>
      </c>
      <c r="W42" s="1131">
        <f t="shared" si="31"/>
        <v>22668</v>
      </c>
      <c r="X42" s="1130">
        <v>475984</v>
      </c>
      <c r="Y42" s="1131">
        <f>X42*(G42+H42)</f>
        <v>951968</v>
      </c>
      <c r="Z42" s="1130">
        <f>80*$AB$5*(G42+H42)</f>
        <v>78209.600000000006</v>
      </c>
      <c r="AA42" s="1135">
        <f t="shared" si="32"/>
        <v>1821296.8000000003</v>
      </c>
      <c r="AB42" s="1135">
        <f t="shared" si="33"/>
        <v>1821296.8000000003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/>
      <c r="H43" s="1157">
        <v>2</v>
      </c>
      <c r="I43" s="1127">
        <v>12000</v>
      </c>
      <c r="J43" s="1137">
        <f t="shared" ref="J43" si="34">(G43+H43)*I43*F43</f>
        <v>336000</v>
      </c>
      <c r="K43" s="1149">
        <f>2.5*3932</f>
        <v>9830</v>
      </c>
      <c r="L43" s="1131">
        <f t="shared" ref="L43" si="35">K43*F43*G43</f>
        <v>0</v>
      </c>
      <c r="M43" s="1138">
        <f>2*3932</f>
        <v>7864</v>
      </c>
      <c r="N43" s="1138">
        <f t="shared" ref="N43" si="36">M43*H43*F43</f>
        <v>220192</v>
      </c>
      <c r="O43" s="1138">
        <v>10000</v>
      </c>
      <c r="P43" s="1124">
        <f>O43*(H43+G43)*2</f>
        <v>40000</v>
      </c>
      <c r="Q43" s="1124">
        <f t="shared" si="30"/>
        <v>596192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596192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336000</v>
      </c>
      <c r="K44" s="1145"/>
      <c r="L44" s="1145">
        <f>SUM(L39:L43)</f>
        <v>0</v>
      </c>
      <c r="M44" s="1145"/>
      <c r="N44" s="1145">
        <f>SUM(N39:N43)</f>
        <v>220192</v>
      </c>
      <c r="O44" s="1213"/>
      <c r="P44" s="1145">
        <f>SUM(P39:P43)</f>
        <v>40000</v>
      </c>
      <c r="Q44" s="1145">
        <f>SUM(Q39:Q43)</f>
        <v>596192</v>
      </c>
      <c r="R44" s="1228"/>
      <c r="S44" s="1145">
        <f>SUM(S39:S43)</f>
        <v>2018105.6000000006</v>
      </c>
      <c r="T44" s="1228"/>
      <c r="U44" s="1145">
        <f>SUM(U39:U43)</f>
        <v>1568000</v>
      </c>
      <c r="V44" s="1228"/>
      <c r="W44" s="1145">
        <f>SUM(W39:W43)</f>
        <v>66360</v>
      </c>
      <c r="X44" s="1228"/>
      <c r="Y44" s="1145">
        <f>SUM(Y39:Y43)</f>
        <v>3668644</v>
      </c>
      <c r="Z44" s="1145">
        <f>SUM(Z39:Z43)</f>
        <v>156419.20000000001</v>
      </c>
      <c r="AA44" s="1145">
        <f>SUM(AA39:AA43)</f>
        <v>7477528.8000000007</v>
      </c>
      <c r="AB44" s="1145">
        <f>SUM(AB39:AB43)</f>
        <v>8073720.8000000007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/>
      <c r="H46" s="1159">
        <v>3</v>
      </c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648676.80000000005</v>
      </c>
      <c r="T46" s="1130">
        <v>28000</v>
      </c>
      <c r="U46" s="1131">
        <f>T46*F46*(G46+H46)</f>
        <v>504000</v>
      </c>
      <c r="V46" s="1130">
        <v>1889</v>
      </c>
      <c r="W46" s="1131">
        <f t="shared" ref="W46:W49" si="37">V46*(G46+H46)*F46</f>
        <v>34002</v>
      </c>
      <c r="X46" s="1130">
        <v>475984</v>
      </c>
      <c r="Y46" s="1131">
        <f>X46*(G46+H46)</f>
        <v>1427952</v>
      </c>
      <c r="Z46" s="1130">
        <f>80*$AB$5*(G46+H46)</f>
        <v>117314.40000000001</v>
      </c>
      <c r="AA46" s="1135">
        <f t="shared" ref="AA46:AA49" si="38">S46+U46+W46+Y46+Z46</f>
        <v>2731945.1999999997</v>
      </c>
      <c r="AB46" s="1135">
        <f>AA46+Q46</f>
        <v>2731945.1999999997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/>
      <c r="H47" s="1159">
        <v>3</v>
      </c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648676.80000000005</v>
      </c>
      <c r="T47" s="1130">
        <v>28000</v>
      </c>
      <c r="U47" s="1131">
        <f>T47*F47*(G47+H47)</f>
        <v>504000</v>
      </c>
      <c r="V47" s="1130">
        <v>1889</v>
      </c>
      <c r="W47" s="1131">
        <f t="shared" si="37"/>
        <v>34002</v>
      </c>
      <c r="X47" s="1130">
        <v>685846</v>
      </c>
      <c r="Y47" s="1131">
        <f>X47*(G47+H47)</f>
        <v>2057538</v>
      </c>
      <c r="Z47" s="1130">
        <f>80*$AB$5*(G47+H47)</f>
        <v>117314.40000000001</v>
      </c>
      <c r="AA47" s="1135">
        <f t="shared" si="38"/>
        <v>3361531.1999999997</v>
      </c>
      <c r="AB47" s="1135">
        <f>AA47+Q47</f>
        <v>3361531.1999999997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/>
      <c r="H48" s="1159">
        <v>3</v>
      </c>
      <c r="I48" s="1127">
        <v>12000</v>
      </c>
      <c r="J48" s="1137">
        <f>(G48+H48)*I48*F48</f>
        <v>504000</v>
      </c>
      <c r="K48" s="1149">
        <f>2.5*3932</f>
        <v>9830</v>
      </c>
      <c r="L48" s="1131">
        <f>K48*F48*G48</f>
        <v>0</v>
      </c>
      <c r="M48" s="1138">
        <f>2*3932</f>
        <v>7864</v>
      </c>
      <c r="N48" s="1138">
        <f>M48*H48*F48</f>
        <v>330288</v>
      </c>
      <c r="O48" s="1138">
        <v>10000</v>
      </c>
      <c r="P48" s="1124">
        <f>O48*(H48+G48)*2</f>
        <v>60000</v>
      </c>
      <c r="Q48" s="1124">
        <f t="shared" si="39"/>
        <v>894288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894288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/>
      <c r="H49" s="1159">
        <v>3</v>
      </c>
      <c r="I49" s="1127">
        <v>12000</v>
      </c>
      <c r="J49" s="1137">
        <f>(G49+H49)*I49*F49</f>
        <v>504000</v>
      </c>
      <c r="K49" s="1149">
        <f>2.5*3932</f>
        <v>9830</v>
      </c>
      <c r="L49" s="1131">
        <f>K49*F49*G49</f>
        <v>0</v>
      </c>
      <c r="M49" s="1138">
        <f>2*3932</f>
        <v>7864</v>
      </c>
      <c r="N49" s="1138">
        <f>M49*H49*F49</f>
        <v>330288</v>
      </c>
      <c r="O49" s="1138">
        <v>10000</v>
      </c>
      <c r="P49" s="1124">
        <f>O49*(H49+G49)*2</f>
        <v>60000</v>
      </c>
      <c r="Q49" s="1124">
        <f t="shared" si="39"/>
        <v>894288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894288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1008000</v>
      </c>
      <c r="K50" s="1163"/>
      <c r="L50" s="1162">
        <f>SUM(L46:L49)</f>
        <v>0</v>
      </c>
      <c r="M50" s="1163"/>
      <c r="N50" s="1162">
        <f>SUM(N46:N49)</f>
        <v>660576</v>
      </c>
      <c r="O50" s="1163"/>
      <c r="P50" s="1162">
        <f>SUM(P46:P49)</f>
        <v>120000</v>
      </c>
      <c r="Q50" s="1162">
        <f>SUM(Q46:Q49)</f>
        <v>1788576</v>
      </c>
      <c r="R50" s="1164"/>
      <c r="S50" s="1162">
        <f>SUM(S46:S49)</f>
        <v>1297353.6000000001</v>
      </c>
      <c r="T50" s="1164"/>
      <c r="U50" s="1162">
        <f>SUM(U46:U49)</f>
        <v>1008000</v>
      </c>
      <c r="V50" s="1164"/>
      <c r="W50" s="1162">
        <f>SUM(W46:W49)</f>
        <v>68004</v>
      </c>
      <c r="X50" s="1164"/>
      <c r="Y50" s="1162">
        <f>SUM(Y46:Y49)</f>
        <v>3485490</v>
      </c>
      <c r="Z50" s="1162">
        <f>SUM(Z46:Z49)</f>
        <v>234628.80000000002</v>
      </c>
      <c r="AA50" s="1162">
        <f>SUM(AA46:AA49)</f>
        <v>6093476.3999999994</v>
      </c>
      <c r="AB50" s="1162">
        <f>SUM(AB46:AB49)</f>
        <v>7882052.3999999994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1438</v>
      </c>
      <c r="F52" s="1166">
        <v>10</v>
      </c>
      <c r="G52" s="1166"/>
      <c r="H52" s="1149">
        <v>2</v>
      </c>
      <c r="I52" s="1127">
        <v>12000</v>
      </c>
      <c r="J52" s="1137">
        <f t="shared" ref="J52" si="40">(G52+H52)*I52*F52</f>
        <v>240000</v>
      </c>
      <c r="K52" s="1149">
        <f>2.5*3932</f>
        <v>9830</v>
      </c>
      <c r="L52" s="1131">
        <f t="shared" ref="L52" si="41">K52*F52*G52</f>
        <v>0</v>
      </c>
      <c r="M52" s="1138">
        <f>2*3932</f>
        <v>7864</v>
      </c>
      <c r="N52" s="1138">
        <f t="shared" ref="N52" si="42">M52*H52*F52</f>
        <v>157280</v>
      </c>
      <c r="O52" s="1133">
        <v>10000</v>
      </c>
      <c r="P52" s="1124">
        <f>O52*(H52+G52)*2</f>
        <v>40000</v>
      </c>
      <c r="Q52" s="1138">
        <f t="shared" ref="Q52:Q55" si="43">SUM(J52+L52+N52+P52)</f>
        <v>437280</v>
      </c>
      <c r="R52" s="1166"/>
      <c r="S52" s="1149"/>
      <c r="T52" s="1166"/>
      <c r="U52" s="1149"/>
      <c r="V52" s="1133"/>
      <c r="W52" s="1133">
        <f t="shared" ref="W52:W55" si="44">V52*(G52+H52)*F52</f>
        <v>0</v>
      </c>
      <c r="X52" s="1133"/>
      <c r="Y52" s="1133"/>
      <c r="Z52" s="1133"/>
      <c r="AA52" s="1149">
        <f t="shared" ref="AA52:AA55" si="45">S52+U52+W52+Y52+Z52</f>
        <v>0</v>
      </c>
      <c r="AB52" s="1149">
        <f t="shared" ref="AB52:AB55" si="46">AA52+Q52</f>
        <v>437280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/>
      <c r="H53" s="1149">
        <v>2</v>
      </c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504526.40000000008</v>
      </c>
      <c r="T53" s="1130">
        <f>60*$AB$4</f>
        <v>27028.2</v>
      </c>
      <c r="U53" s="1149">
        <f>T53*F53*(G53+H53)</f>
        <v>378394.8</v>
      </c>
      <c r="V53" s="1133">
        <v>1889</v>
      </c>
      <c r="W53" s="1133">
        <f t="shared" si="44"/>
        <v>26446</v>
      </c>
      <c r="X53" s="1133">
        <v>805167</v>
      </c>
      <c r="Y53" s="1133">
        <f>X53*(G53+H53)</f>
        <v>1610334</v>
      </c>
      <c r="Z53" s="1130">
        <f>80*$AB$5*(G53+H53)</f>
        <v>78209.600000000006</v>
      </c>
      <c r="AA53" s="1149">
        <f t="shared" si="45"/>
        <v>2597910.8000000003</v>
      </c>
      <c r="AB53" s="1149">
        <f t="shared" si="46"/>
        <v>2597910.8000000003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1438</v>
      </c>
      <c r="F54" s="1166">
        <v>10</v>
      </c>
      <c r="G54" s="1167"/>
      <c r="H54" s="1149">
        <v>2</v>
      </c>
      <c r="I54" s="1127">
        <v>12000</v>
      </c>
      <c r="J54" s="1149">
        <f t="shared" ref="J54" si="47">(G54+H54)*I54*F54</f>
        <v>240000</v>
      </c>
      <c r="K54" s="1149">
        <f>2.5*3932</f>
        <v>9830</v>
      </c>
      <c r="L54" s="1149">
        <f t="shared" ref="L54" si="48">K54*F54*G54</f>
        <v>0</v>
      </c>
      <c r="M54" s="1149">
        <f>2*3932</f>
        <v>7864</v>
      </c>
      <c r="N54" s="1149">
        <f t="shared" ref="N54" si="49">M54*H54*F54</f>
        <v>157280</v>
      </c>
      <c r="O54" s="1133">
        <v>10000</v>
      </c>
      <c r="P54" s="1124">
        <f>O54*(H54+G54)*2</f>
        <v>40000</v>
      </c>
      <c r="Q54" s="1149">
        <f t="shared" si="43"/>
        <v>437280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437280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/>
      <c r="H55" s="1149">
        <v>2</v>
      </c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504526.40000000008</v>
      </c>
      <c r="T55" s="1130">
        <f>60*$AB$4</f>
        <v>27028.2</v>
      </c>
      <c r="U55" s="1149">
        <f>T55*F55*(G55+H55)</f>
        <v>378394.8</v>
      </c>
      <c r="V55" s="1133">
        <v>1889</v>
      </c>
      <c r="W55" s="1133">
        <f t="shared" si="44"/>
        <v>26446</v>
      </c>
      <c r="X55" s="1133">
        <v>646916</v>
      </c>
      <c r="Y55" s="1133">
        <f>X55*(G55+H55)</f>
        <v>1293832</v>
      </c>
      <c r="Z55" s="1216">
        <f>80*$AB$5*(G55+H55)</f>
        <v>78209.600000000006</v>
      </c>
      <c r="AA55" s="1149">
        <f t="shared" si="45"/>
        <v>2281408.8000000003</v>
      </c>
      <c r="AB55" s="1149">
        <f t="shared" si="46"/>
        <v>2281408.8000000003</v>
      </c>
    </row>
    <row r="56" spans="1:29">
      <c r="A56" s="1807" t="s">
        <v>38</v>
      </c>
      <c r="B56" s="1807"/>
      <c r="C56" s="1807"/>
      <c r="D56" s="1807"/>
      <c r="E56" s="1807"/>
      <c r="F56" s="1807"/>
      <c r="G56" s="1807"/>
      <c r="H56" s="1807"/>
      <c r="I56" s="1168"/>
      <c r="J56" s="1169">
        <f>SUM(J52:J55)</f>
        <v>480000</v>
      </c>
      <c r="K56" s="1169"/>
      <c r="L56" s="1169">
        <f>SUM(L52:L55)</f>
        <v>0</v>
      </c>
      <c r="M56" s="1169"/>
      <c r="N56" s="1169">
        <f>SUM(N52:N55)</f>
        <v>314560</v>
      </c>
      <c r="O56" s="1170"/>
      <c r="P56" s="1169">
        <f>SUM(P52:P55)</f>
        <v>80000</v>
      </c>
      <c r="Q56" s="1169">
        <f>SUM(Q52:Q55)</f>
        <v>874560</v>
      </c>
      <c r="R56" s="1171"/>
      <c r="S56" s="1169">
        <f>SUM(S52:S55)</f>
        <v>1009052.8000000002</v>
      </c>
      <c r="T56" s="1171"/>
      <c r="U56" s="1169">
        <f>SUM(U52:U55)</f>
        <v>756789.6</v>
      </c>
      <c r="V56" s="1170"/>
      <c r="W56" s="1169">
        <f>SUM(W52:W55)</f>
        <v>52892</v>
      </c>
      <c r="X56" s="1170"/>
      <c r="Y56" s="1169">
        <f>SUM(Y52:Y55)</f>
        <v>2904166</v>
      </c>
      <c r="Z56" s="1169">
        <f>SUM(Z52:Z55)</f>
        <v>156419.20000000001</v>
      </c>
      <c r="AA56" s="1169">
        <f>SUM(AA52:AA55)</f>
        <v>4879319.6000000006</v>
      </c>
      <c r="AB56" s="1169">
        <f>SUM(AB52:AB55)</f>
        <v>5753879.6000000006</v>
      </c>
      <c r="AC56" s="1120">
        <f>AB56-AA56-Q56</f>
        <v>0</v>
      </c>
    </row>
    <row r="57" spans="1:29">
      <c r="A57" s="1818" t="s">
        <v>1156</v>
      </c>
      <c r="B57" s="1818"/>
      <c r="C57" s="1818"/>
      <c r="D57" s="1818"/>
      <c r="E57" s="1818"/>
      <c r="F57" s="1818"/>
      <c r="G57" s="1818"/>
      <c r="H57" s="1818"/>
      <c r="I57" s="1818"/>
      <c r="J57" s="1818"/>
      <c r="K57" s="1818"/>
      <c r="L57" s="1818"/>
      <c r="M57" s="1818"/>
      <c r="N57" s="1818"/>
      <c r="O57" s="1818"/>
      <c r="P57" s="1818"/>
      <c r="Q57" s="1818"/>
      <c r="R57" s="1818"/>
      <c r="S57" s="1818"/>
      <c r="T57" s="1818"/>
      <c r="U57" s="1818"/>
      <c r="V57" s="1818"/>
      <c r="W57" s="1818"/>
      <c r="X57" s="1818"/>
      <c r="Y57" s="1818"/>
      <c r="Z57" s="1818"/>
      <c r="AA57" s="1818"/>
      <c r="AB57" s="1818"/>
    </row>
    <row r="58" spans="1:29" ht="140.25" customHeight="1">
      <c r="A58" s="1165">
        <v>34</v>
      </c>
      <c r="B58" s="1129">
        <v>1</v>
      </c>
      <c r="C58" s="1158" t="s">
        <v>1338</v>
      </c>
      <c r="D58" s="1132" t="s">
        <v>1339</v>
      </c>
      <c r="E58" s="1132" t="s">
        <v>1438</v>
      </c>
      <c r="F58" s="1166">
        <v>15</v>
      </c>
      <c r="G58" s="1166"/>
      <c r="H58" s="1149">
        <v>4</v>
      </c>
      <c r="I58" s="1127">
        <v>12000</v>
      </c>
      <c r="J58" s="1137">
        <f t="shared" ref="J58:J59" si="50">(G58+H58)*I58*F58</f>
        <v>720000</v>
      </c>
      <c r="K58" s="1149">
        <f>2.5*3932</f>
        <v>9830</v>
      </c>
      <c r="L58" s="1131">
        <f t="shared" ref="L58:L59" si="51">K58*F58*G58</f>
        <v>0</v>
      </c>
      <c r="M58" s="1138">
        <f>2*3932</f>
        <v>7864</v>
      </c>
      <c r="N58" s="1138">
        <f t="shared" ref="N58:N59" si="52">M58*H58*F58</f>
        <v>471840</v>
      </c>
      <c r="O58" s="1133">
        <v>10000</v>
      </c>
      <c r="P58" s="1124">
        <f>O58*(H58+G58)*2</f>
        <v>80000</v>
      </c>
      <c r="Q58" s="1138">
        <f t="shared" ref="Q58:Q62" si="53">SUM(J58+L58+N58+P58)</f>
        <v>1271840</v>
      </c>
      <c r="R58" s="1166"/>
      <c r="S58" s="1149"/>
      <c r="T58" s="1166"/>
      <c r="U58" s="1149"/>
      <c r="V58" s="1133"/>
      <c r="W58" s="1133">
        <f t="shared" ref="W58:W62" si="54">V58*(G58+H58)*F58</f>
        <v>0</v>
      </c>
      <c r="X58" s="1133"/>
      <c r="Y58" s="1133"/>
      <c r="Z58" s="1133"/>
      <c r="AA58" s="1149">
        <f t="shared" ref="AA58:AA62" si="55">S58+U58+W58+Y58+Z58</f>
        <v>0</v>
      </c>
      <c r="AB58" s="1149">
        <f t="shared" ref="AB58:AB62" si="56">AA58+Q58</f>
        <v>1271840</v>
      </c>
    </row>
    <row r="59" spans="1:29" ht="144.75" customHeight="1">
      <c r="A59" s="1165">
        <v>35</v>
      </c>
      <c r="B59" s="1129">
        <v>2</v>
      </c>
      <c r="C59" s="1158" t="s">
        <v>1106</v>
      </c>
      <c r="D59" s="1132" t="s">
        <v>1312</v>
      </c>
      <c r="E59" s="1132" t="s">
        <v>1438</v>
      </c>
      <c r="F59" s="1166">
        <v>10</v>
      </c>
      <c r="G59" s="1166"/>
      <c r="H59" s="1149">
        <v>4</v>
      </c>
      <c r="I59" s="1127">
        <v>12000</v>
      </c>
      <c r="J59" s="1137">
        <f t="shared" si="50"/>
        <v>480000</v>
      </c>
      <c r="K59" s="1149">
        <f>2.5*3932</f>
        <v>9830</v>
      </c>
      <c r="L59" s="1131">
        <f t="shared" si="51"/>
        <v>0</v>
      </c>
      <c r="M59" s="1138">
        <f>2*3932</f>
        <v>7864</v>
      </c>
      <c r="N59" s="1138">
        <f t="shared" si="52"/>
        <v>314560</v>
      </c>
      <c r="O59" s="1133">
        <v>10000</v>
      </c>
      <c r="P59" s="1124">
        <f>O59*(H59+G59)*2</f>
        <v>80000</v>
      </c>
      <c r="Q59" s="1138">
        <f t="shared" si="53"/>
        <v>874560</v>
      </c>
      <c r="R59" s="1166"/>
      <c r="S59" s="1149"/>
      <c r="T59" s="1166"/>
      <c r="U59" s="1149"/>
      <c r="V59" s="1133"/>
      <c r="W59" s="1133">
        <f t="shared" si="54"/>
        <v>0</v>
      </c>
      <c r="X59" s="1133"/>
      <c r="Y59" s="1133"/>
      <c r="Z59" s="1133"/>
      <c r="AA59" s="1149">
        <f t="shared" si="55"/>
        <v>0</v>
      </c>
      <c r="AB59" s="1149">
        <f t="shared" si="56"/>
        <v>874560</v>
      </c>
    </row>
    <row r="60" spans="1:29" ht="37.5">
      <c r="A60" s="1165">
        <v>36</v>
      </c>
      <c r="B60" s="1129">
        <v>3</v>
      </c>
      <c r="C60" s="1156" t="s">
        <v>383</v>
      </c>
      <c r="D60" s="1132" t="s">
        <v>1340</v>
      </c>
      <c r="E60" s="1132" t="s">
        <v>953</v>
      </c>
      <c r="F60" s="1166">
        <v>7</v>
      </c>
      <c r="G60" s="1166"/>
      <c r="H60" s="1172">
        <v>4</v>
      </c>
      <c r="I60" s="1149"/>
      <c r="J60" s="1149"/>
      <c r="K60" s="1149"/>
      <c r="L60" s="1149"/>
      <c r="M60" s="1149"/>
      <c r="N60" s="1149"/>
      <c r="O60" s="1133"/>
      <c r="P60" s="1133"/>
      <c r="Q60" s="1149">
        <f t="shared" si="53"/>
        <v>0</v>
      </c>
      <c r="R60" s="1130">
        <f>80*$AB$4</f>
        <v>36037.600000000006</v>
      </c>
      <c r="S60" s="1127">
        <f>R60*F60*(G60+H60)</f>
        <v>1009052.8000000002</v>
      </c>
      <c r="T60" s="1130">
        <v>28000</v>
      </c>
      <c r="U60" s="1131">
        <f>T60*F60*(G60+H60)</f>
        <v>784000</v>
      </c>
      <c r="V60" s="1133">
        <v>1889</v>
      </c>
      <c r="W60" s="1131">
        <f t="shared" si="54"/>
        <v>52892</v>
      </c>
      <c r="X60" s="1133">
        <v>442311</v>
      </c>
      <c r="Y60" s="1131">
        <f>X60*(G60+H60)</f>
        <v>1769244</v>
      </c>
      <c r="Z60" s="1130">
        <f>80*$AB$5*(G60+H60)</f>
        <v>156419.20000000001</v>
      </c>
      <c r="AA60" s="1135">
        <f t="shared" si="55"/>
        <v>3771608.0000000005</v>
      </c>
      <c r="AB60" s="1149">
        <f t="shared" si="56"/>
        <v>3771608.0000000005</v>
      </c>
    </row>
    <row r="61" spans="1:29" ht="146.25" customHeight="1">
      <c r="A61" s="1165">
        <v>37</v>
      </c>
      <c r="B61" s="1129">
        <v>4</v>
      </c>
      <c r="C61" s="1158" t="s">
        <v>1106</v>
      </c>
      <c r="D61" s="1132" t="s">
        <v>1341</v>
      </c>
      <c r="E61" s="1132" t="s">
        <v>1438</v>
      </c>
      <c r="F61" s="1166">
        <v>9</v>
      </c>
      <c r="G61" s="1166"/>
      <c r="H61" s="1149">
        <v>4</v>
      </c>
      <c r="I61" s="1127">
        <v>12000</v>
      </c>
      <c r="J61" s="1137">
        <f t="shared" ref="J61" si="57">(G61+H61)*I61*F61</f>
        <v>432000</v>
      </c>
      <c r="K61" s="1149">
        <f>2.5*3932</f>
        <v>9830</v>
      </c>
      <c r="L61" s="1131">
        <f t="shared" ref="L61" si="58">K61*F61*G61</f>
        <v>0</v>
      </c>
      <c r="M61" s="1138">
        <f>2*3932</f>
        <v>7864</v>
      </c>
      <c r="N61" s="1138">
        <f t="shared" ref="N61" si="59">M61*H61*F61</f>
        <v>283104</v>
      </c>
      <c r="O61" s="1133">
        <v>10000</v>
      </c>
      <c r="P61" s="1124">
        <f>O61*(H61+G61)*2</f>
        <v>80000</v>
      </c>
      <c r="Q61" s="1138">
        <f t="shared" si="53"/>
        <v>795104</v>
      </c>
      <c r="R61" s="1166"/>
      <c r="S61" s="1149"/>
      <c r="T61" s="1166"/>
      <c r="U61" s="1149"/>
      <c r="V61" s="1133"/>
      <c r="W61" s="1133">
        <f t="shared" si="54"/>
        <v>0</v>
      </c>
      <c r="X61" s="1133"/>
      <c r="Y61" s="1133"/>
      <c r="Z61" s="1133"/>
      <c r="AA61" s="1149">
        <f t="shared" si="55"/>
        <v>0</v>
      </c>
      <c r="AB61" s="1149">
        <f t="shared" si="56"/>
        <v>795104</v>
      </c>
    </row>
    <row r="62" spans="1:29" ht="37.5">
      <c r="A62" s="1165">
        <v>38</v>
      </c>
      <c r="B62" s="1129">
        <v>5</v>
      </c>
      <c r="C62" s="1156" t="s">
        <v>383</v>
      </c>
      <c r="D62" s="1132" t="s">
        <v>386</v>
      </c>
      <c r="E62" s="1132" t="s">
        <v>927</v>
      </c>
      <c r="F62" s="1166">
        <v>7</v>
      </c>
      <c r="G62" s="1166"/>
      <c r="H62" s="1149">
        <v>4</v>
      </c>
      <c r="I62" s="1149"/>
      <c r="J62" s="1137"/>
      <c r="K62" s="1149"/>
      <c r="L62" s="1131"/>
      <c r="M62" s="1138"/>
      <c r="N62" s="1138"/>
      <c r="O62" s="1133"/>
      <c r="P62" s="1124"/>
      <c r="Q62" s="1138">
        <f t="shared" si="53"/>
        <v>0</v>
      </c>
      <c r="R62" s="1130">
        <f>80*$AB$4</f>
        <v>36037.600000000006</v>
      </c>
      <c r="S62" s="1149">
        <f>R62*F62*(G62+H62)</f>
        <v>1009052.8000000002</v>
      </c>
      <c r="T62" s="1130">
        <v>28000</v>
      </c>
      <c r="U62" s="1149">
        <f>T62*F62*(G62+H62)</f>
        <v>784000</v>
      </c>
      <c r="V62" s="1133">
        <v>1889</v>
      </c>
      <c r="W62" s="1133">
        <f t="shared" si="54"/>
        <v>52892</v>
      </c>
      <c r="X62" s="1133">
        <v>646412</v>
      </c>
      <c r="Y62" s="1133">
        <f>X62*(G62+H62)</f>
        <v>2585648</v>
      </c>
      <c r="Z62" s="1130">
        <f>80*$AB$5*(G62+H62)</f>
        <v>156419.20000000001</v>
      </c>
      <c r="AA62" s="1149">
        <f t="shared" si="55"/>
        <v>4588012.0000000009</v>
      </c>
      <c r="AB62" s="1149">
        <f t="shared" si="56"/>
        <v>4588012.0000000009</v>
      </c>
    </row>
    <row r="63" spans="1:29">
      <c r="A63" s="1796"/>
      <c r="B63" s="1797"/>
      <c r="C63" s="1797"/>
      <c r="D63" s="1797"/>
      <c r="E63" s="1797"/>
      <c r="F63" s="1797"/>
      <c r="G63" s="1797"/>
      <c r="H63" s="1798"/>
      <c r="I63" s="1145"/>
      <c r="J63" s="1145">
        <f>SUM(J58:J62)</f>
        <v>1632000</v>
      </c>
      <c r="K63" s="1145"/>
      <c r="L63" s="1145">
        <f>SUM(L58:L62)</f>
        <v>0</v>
      </c>
      <c r="M63" s="1145"/>
      <c r="N63" s="1145">
        <f>SUM(N58:N62)</f>
        <v>1069504</v>
      </c>
      <c r="O63" s="1213"/>
      <c r="P63" s="1145">
        <f>SUM(P58:P62)</f>
        <v>240000</v>
      </c>
      <c r="Q63" s="1145">
        <f>SUM(Q58:Q62)</f>
        <v>2941504</v>
      </c>
      <c r="R63" s="1228"/>
      <c r="S63" s="1145">
        <f>SUM(S58:S62)</f>
        <v>2018105.6000000003</v>
      </c>
      <c r="T63" s="1228"/>
      <c r="U63" s="1145">
        <f>SUM(U58:U62)</f>
        <v>1568000</v>
      </c>
      <c r="V63" s="1228"/>
      <c r="W63" s="1145">
        <f>SUM(W58:W62)</f>
        <v>105784</v>
      </c>
      <c r="X63" s="1228"/>
      <c r="Y63" s="1145">
        <f>SUM(Y58:Y62)</f>
        <v>4354892</v>
      </c>
      <c r="Z63" s="1145">
        <f>SUM(Z58:Z62)</f>
        <v>312838.40000000002</v>
      </c>
      <c r="AA63" s="1145">
        <f>SUM(AA58:AA62)</f>
        <v>8359620.0000000019</v>
      </c>
      <c r="AB63" s="1145">
        <f>SUM(AB58:AB62)</f>
        <v>11301124</v>
      </c>
      <c r="AC63" s="1120">
        <f>AB63-AA63-Q63</f>
        <v>0</v>
      </c>
    </row>
    <row r="64" spans="1:29">
      <c r="A64" s="1819" t="s">
        <v>1342</v>
      </c>
      <c r="B64" s="1820"/>
      <c r="C64" s="1820"/>
      <c r="D64" s="1820"/>
      <c r="E64" s="1820"/>
      <c r="F64" s="1820"/>
      <c r="G64" s="1820"/>
      <c r="H64" s="1820"/>
      <c r="I64" s="1805"/>
      <c r="J64" s="1805"/>
      <c r="K64" s="1805"/>
      <c r="L64" s="1805"/>
      <c r="M64" s="1805"/>
      <c r="N64" s="1805"/>
      <c r="O64" s="1805"/>
      <c r="P64" s="1805"/>
      <c r="Q64" s="1805"/>
      <c r="R64" s="1805"/>
      <c r="S64" s="1805"/>
      <c r="T64" s="1805"/>
      <c r="U64" s="1805"/>
      <c r="V64" s="1805"/>
      <c r="W64" s="1805"/>
      <c r="X64" s="1805"/>
      <c r="Y64" s="1805"/>
      <c r="Z64" s="1805"/>
      <c r="AA64" s="1805"/>
      <c r="AB64" s="1821"/>
    </row>
    <row r="65" spans="1:29" ht="131.25">
      <c r="A65" s="1138">
        <v>39</v>
      </c>
      <c r="B65" s="1138">
        <v>1</v>
      </c>
      <c r="C65" s="1126" t="s">
        <v>1108</v>
      </c>
      <c r="D65" s="1132" t="s">
        <v>384</v>
      </c>
      <c r="E65" s="1127" t="s">
        <v>1439</v>
      </c>
      <c r="F65" s="1127">
        <v>14</v>
      </c>
      <c r="G65" s="1129"/>
      <c r="H65" s="1157">
        <v>3</v>
      </c>
      <c r="I65" s="1127">
        <v>12000</v>
      </c>
      <c r="J65" s="1129">
        <f t="shared" ref="J65" si="60">(G65+H65)*I65*F65</f>
        <v>504000</v>
      </c>
      <c r="K65" s="1149">
        <f>2.5*3932</f>
        <v>9830</v>
      </c>
      <c r="L65" s="1127">
        <f t="shared" ref="L65" si="61">K65*F65*G65</f>
        <v>0</v>
      </c>
      <c r="M65" s="1124">
        <f>2*3932</f>
        <v>7864</v>
      </c>
      <c r="N65" s="1124">
        <f t="shared" ref="N65" si="62">M65*H65*F65</f>
        <v>330288</v>
      </c>
      <c r="O65" s="1124">
        <v>10000</v>
      </c>
      <c r="P65" s="1124">
        <f>O65*(H65+G65)*2</f>
        <v>60000</v>
      </c>
      <c r="Q65" s="1124">
        <f t="shared" ref="Q65:Q67" si="63">SUM(J65+L65+N65+P65)</f>
        <v>894288</v>
      </c>
      <c r="R65" s="1130"/>
      <c r="S65" s="1131"/>
      <c r="T65" s="1130"/>
      <c r="U65" s="1131"/>
      <c r="V65" s="1130"/>
      <c r="W65" s="1131">
        <f t="shared" ref="W65:W67" si="64">V65*(G65+H65)*F65</f>
        <v>0</v>
      </c>
      <c r="X65" s="1130"/>
      <c r="Y65" s="1131"/>
      <c r="Z65" s="1130"/>
      <c r="AA65" s="1135">
        <f t="shared" ref="AA65:AA67" si="65">S65+U65+W65+Y65+Z65</f>
        <v>0</v>
      </c>
      <c r="AB65" s="1135">
        <f t="shared" ref="AB65:AB67" si="66">AA65+Q65</f>
        <v>894288</v>
      </c>
    </row>
    <row r="66" spans="1:29" ht="56.25">
      <c r="A66" s="1138">
        <v>40</v>
      </c>
      <c r="B66" s="1138">
        <v>2</v>
      </c>
      <c r="C66" s="1156" t="s">
        <v>1343</v>
      </c>
      <c r="D66" s="1132" t="s">
        <v>1344</v>
      </c>
      <c r="E66" s="1127" t="s">
        <v>1345</v>
      </c>
      <c r="F66" s="1127">
        <v>6</v>
      </c>
      <c r="G66" s="1129"/>
      <c r="H66" s="1159">
        <v>3</v>
      </c>
      <c r="I66" s="1127"/>
      <c r="J66" s="1129"/>
      <c r="K66" s="1127"/>
      <c r="L66" s="1127"/>
      <c r="M66" s="1124"/>
      <c r="N66" s="1124"/>
      <c r="O66" s="1124"/>
      <c r="P66" s="1124"/>
      <c r="Q66" s="1124">
        <f t="shared" si="63"/>
        <v>0</v>
      </c>
      <c r="R66" s="1130">
        <f>80*$AB$4</f>
        <v>36037.600000000006</v>
      </c>
      <c r="S66" s="1131">
        <f>R66*F66*(G66+H66)</f>
        <v>648676.80000000005</v>
      </c>
      <c r="T66" s="1130">
        <v>28000</v>
      </c>
      <c r="U66" s="1131">
        <f>T66*F66*(G66+H66)</f>
        <v>504000</v>
      </c>
      <c r="V66" s="1132">
        <v>657</v>
      </c>
      <c r="W66" s="1131">
        <f t="shared" si="64"/>
        <v>11826</v>
      </c>
      <c r="X66" s="1132">
        <v>366914</v>
      </c>
      <c r="Y66" s="1131">
        <f>X66*(G66+H66)</f>
        <v>1100742</v>
      </c>
      <c r="Z66" s="1132"/>
      <c r="AA66" s="1135">
        <f t="shared" si="65"/>
        <v>2265244.7999999998</v>
      </c>
      <c r="AB66" s="1135">
        <f t="shared" si="66"/>
        <v>2265244.7999999998</v>
      </c>
    </row>
    <row r="67" spans="1:29" ht="37.5">
      <c r="A67" s="1138">
        <v>41</v>
      </c>
      <c r="B67" s="1138">
        <v>3</v>
      </c>
      <c r="C67" s="1126" t="s">
        <v>1346</v>
      </c>
      <c r="D67" s="1132" t="s">
        <v>1146</v>
      </c>
      <c r="E67" s="1127" t="s">
        <v>1347</v>
      </c>
      <c r="F67" s="1159">
        <v>10</v>
      </c>
      <c r="G67" s="1129"/>
      <c r="H67" s="1157">
        <v>3</v>
      </c>
      <c r="I67" s="1131"/>
      <c r="J67" s="1137"/>
      <c r="K67" s="1131"/>
      <c r="L67" s="1131"/>
      <c r="M67" s="1138"/>
      <c r="N67" s="1138"/>
      <c r="O67" s="1138"/>
      <c r="P67" s="1124"/>
      <c r="Q67" s="1138">
        <f t="shared" si="63"/>
        <v>0</v>
      </c>
      <c r="R67" s="1130">
        <f>80*$AB$4</f>
        <v>36037.600000000006</v>
      </c>
      <c r="S67" s="1131">
        <f>R67*F67*(G67+H67)</f>
        <v>1081128.0000000002</v>
      </c>
      <c r="T67" s="1130">
        <v>28000</v>
      </c>
      <c r="U67" s="1131">
        <f>T67*F67*(G67+H67)</f>
        <v>840000</v>
      </c>
      <c r="V67" s="1132">
        <v>1029</v>
      </c>
      <c r="W67" s="1131">
        <f t="shared" si="64"/>
        <v>30870</v>
      </c>
      <c r="X67" s="1132">
        <v>580754</v>
      </c>
      <c r="Y67" s="1131">
        <f>X67*(G67+H67)</f>
        <v>1742262</v>
      </c>
      <c r="Z67" s="1132"/>
      <c r="AA67" s="1135">
        <f t="shared" si="65"/>
        <v>3694260</v>
      </c>
      <c r="AB67" s="1135">
        <f t="shared" si="66"/>
        <v>3694260</v>
      </c>
    </row>
    <row r="68" spans="1:29">
      <c r="A68" s="1807" t="s">
        <v>38</v>
      </c>
      <c r="B68" s="1807"/>
      <c r="C68" s="1807"/>
      <c r="D68" s="1807"/>
      <c r="E68" s="1807"/>
      <c r="F68" s="1807"/>
      <c r="G68" s="1807"/>
      <c r="H68" s="1807"/>
      <c r="I68" s="1145"/>
      <c r="J68" s="1145">
        <f>SUM(J65:J67)</f>
        <v>504000</v>
      </c>
      <c r="K68" s="1145"/>
      <c r="L68" s="1145">
        <f>SUM(L65:L67)</f>
        <v>0</v>
      </c>
      <c r="M68" s="1145"/>
      <c r="N68" s="1145">
        <f>SUM(N65:N67)</f>
        <v>330288</v>
      </c>
      <c r="O68" s="1213"/>
      <c r="P68" s="1145">
        <f>SUM(P65:P67)</f>
        <v>60000</v>
      </c>
      <c r="Q68" s="1145">
        <f>SUM(Q65:Q67)</f>
        <v>894288</v>
      </c>
      <c r="R68" s="1228"/>
      <c r="S68" s="1145">
        <f>SUM(S65:S67)</f>
        <v>1729804.8000000003</v>
      </c>
      <c r="T68" s="1228"/>
      <c r="U68" s="1145">
        <f>SUM(U65:U67)</f>
        <v>1344000</v>
      </c>
      <c r="V68" s="1228"/>
      <c r="W68" s="1145">
        <f>SUM(W65:W67)</f>
        <v>42696</v>
      </c>
      <c r="X68" s="1228"/>
      <c r="Y68" s="1145">
        <f>SUM(Y65:Y67)</f>
        <v>2843004</v>
      </c>
      <c r="Z68" s="1145">
        <f>SUM(Z65:Z67)</f>
        <v>0</v>
      </c>
      <c r="AA68" s="1145">
        <f>SUM(AA65:AA67)</f>
        <v>5959504.7999999998</v>
      </c>
      <c r="AB68" s="1145">
        <f>SUM(AB65:AB67)</f>
        <v>6853792.7999999998</v>
      </c>
      <c r="AC68" s="1120">
        <f>AB68-AA68-Q68</f>
        <v>0</v>
      </c>
    </row>
    <row r="69" spans="1:29">
      <c r="A69" s="1819" t="s">
        <v>1348</v>
      </c>
      <c r="B69" s="1820"/>
      <c r="C69" s="1820"/>
      <c r="D69" s="1820"/>
      <c r="E69" s="1820"/>
      <c r="F69" s="1820"/>
      <c r="G69" s="1820"/>
      <c r="H69" s="1820"/>
      <c r="I69" s="1805"/>
      <c r="J69" s="1805"/>
      <c r="K69" s="1805"/>
      <c r="L69" s="1805"/>
      <c r="M69" s="1805"/>
      <c r="N69" s="1805"/>
      <c r="O69" s="1805"/>
      <c r="P69" s="1805"/>
      <c r="Q69" s="1805"/>
      <c r="R69" s="1805"/>
      <c r="S69" s="1805"/>
      <c r="T69" s="1805"/>
      <c r="U69" s="1805"/>
      <c r="V69" s="1805"/>
      <c r="W69" s="1805"/>
      <c r="X69" s="1805"/>
      <c r="Y69" s="1805"/>
      <c r="Z69" s="1805"/>
      <c r="AA69" s="1805"/>
      <c r="AB69" s="1821"/>
    </row>
    <row r="70" spans="1:29" ht="131.25">
      <c r="A70" s="1124">
        <v>42</v>
      </c>
      <c r="B70" s="1138">
        <v>1</v>
      </c>
      <c r="C70" s="1126" t="s">
        <v>1108</v>
      </c>
      <c r="D70" s="1132" t="s">
        <v>1349</v>
      </c>
      <c r="E70" s="1127" t="s">
        <v>1439</v>
      </c>
      <c r="F70" s="1159">
        <v>18</v>
      </c>
      <c r="G70" s="1129"/>
      <c r="H70" s="1159">
        <v>3</v>
      </c>
      <c r="I70" s="1127">
        <v>12000</v>
      </c>
      <c r="J70" s="1129">
        <f t="shared" ref="J70:J71" si="67">(G70+H70)*I70*F70</f>
        <v>648000</v>
      </c>
      <c r="K70" s="1149">
        <f>2.5*3932</f>
        <v>9830</v>
      </c>
      <c r="L70" s="1127">
        <f t="shared" ref="L70:L71" si="68">K70*F70*G70</f>
        <v>0</v>
      </c>
      <c r="M70" s="1124">
        <f>2*3932</f>
        <v>7864</v>
      </c>
      <c r="N70" s="1124">
        <f t="shared" ref="N70:N71" si="69">M70*H70*F70</f>
        <v>424656</v>
      </c>
      <c r="O70" s="1124">
        <v>10000</v>
      </c>
      <c r="P70" s="1124">
        <f>O70*(H70+G70)*2</f>
        <v>60000</v>
      </c>
      <c r="Q70" s="1124">
        <f t="shared" ref="Q70:Q72" si="70">SUM(J70+L70+N70+P70)</f>
        <v>1132656</v>
      </c>
      <c r="R70" s="1124"/>
      <c r="S70" s="1124"/>
      <c r="T70" s="1124"/>
      <c r="U70" s="1124"/>
      <c r="V70" s="1124"/>
      <c r="W70" s="1124">
        <f t="shared" ref="W70:W72" si="71">V70*(G70+H70)*F70</f>
        <v>0</v>
      </c>
      <c r="X70" s="1124"/>
      <c r="Y70" s="1124"/>
      <c r="Z70" s="1124"/>
      <c r="AA70" s="1149">
        <f t="shared" ref="AA70:AA72" si="72">S70+U70+W70+Y70+Z70</f>
        <v>0</v>
      </c>
      <c r="AB70" s="1149">
        <f t="shared" ref="AB70:AB72" si="73">Q70+AA70</f>
        <v>1132656</v>
      </c>
    </row>
    <row r="71" spans="1:29" ht="131.25">
      <c r="A71" s="1124">
        <v>43</v>
      </c>
      <c r="B71" s="1138">
        <v>2</v>
      </c>
      <c r="C71" s="1158" t="s">
        <v>1108</v>
      </c>
      <c r="D71" s="1132" t="s">
        <v>1341</v>
      </c>
      <c r="E71" s="1127" t="s">
        <v>1439</v>
      </c>
      <c r="F71" s="1127">
        <v>18</v>
      </c>
      <c r="G71" s="1129"/>
      <c r="H71" s="1159">
        <v>3</v>
      </c>
      <c r="I71" s="1127">
        <v>12000</v>
      </c>
      <c r="J71" s="1129">
        <f t="shared" si="67"/>
        <v>648000</v>
      </c>
      <c r="K71" s="1149">
        <f>2.5*3932</f>
        <v>9830</v>
      </c>
      <c r="L71" s="1127">
        <f t="shared" si="68"/>
        <v>0</v>
      </c>
      <c r="M71" s="1124">
        <f>2*3932</f>
        <v>7864</v>
      </c>
      <c r="N71" s="1124">
        <f t="shared" si="69"/>
        <v>424656</v>
      </c>
      <c r="O71" s="1124">
        <v>10000</v>
      </c>
      <c r="P71" s="1124">
        <f>O71*(H71+G71)*2</f>
        <v>60000</v>
      </c>
      <c r="Q71" s="1124">
        <f t="shared" si="70"/>
        <v>1132656</v>
      </c>
      <c r="R71" s="1130"/>
      <c r="S71" s="1131"/>
      <c r="T71" s="1132"/>
      <c r="U71" s="1131"/>
      <c r="V71" s="1132"/>
      <c r="W71" s="1131">
        <f t="shared" si="71"/>
        <v>0</v>
      </c>
      <c r="X71" s="1132"/>
      <c r="Y71" s="1131"/>
      <c r="Z71" s="1132"/>
      <c r="AA71" s="1135">
        <f t="shared" si="72"/>
        <v>0</v>
      </c>
      <c r="AB71" s="1149">
        <f t="shared" si="73"/>
        <v>1132656</v>
      </c>
    </row>
    <row r="72" spans="1:29" ht="56.25">
      <c r="A72" s="1124">
        <v>44</v>
      </c>
      <c r="B72" s="1138">
        <v>3</v>
      </c>
      <c r="C72" s="1136" t="s">
        <v>1350</v>
      </c>
      <c r="D72" s="1132" t="s">
        <v>1318</v>
      </c>
      <c r="E72" s="1127" t="s">
        <v>1351</v>
      </c>
      <c r="F72" s="1159">
        <v>6</v>
      </c>
      <c r="G72" s="1129"/>
      <c r="H72" s="1159">
        <v>3</v>
      </c>
      <c r="I72" s="1127"/>
      <c r="J72" s="1137"/>
      <c r="K72" s="1127"/>
      <c r="L72" s="1131"/>
      <c r="M72" s="1138"/>
      <c r="N72" s="1138"/>
      <c r="O72" s="1124"/>
      <c r="P72" s="1124"/>
      <c r="Q72" s="1138">
        <f t="shared" si="70"/>
        <v>0</v>
      </c>
      <c r="R72" s="1130">
        <f>80*$AB$4</f>
        <v>36037.600000000006</v>
      </c>
      <c r="S72" s="1131">
        <f>R72*F72*(G72+H72)</f>
        <v>648676.80000000005</v>
      </c>
      <c r="T72" s="1130">
        <v>28000</v>
      </c>
      <c r="U72" s="1131">
        <f>T72*F72*(G72+H72)</f>
        <v>504000</v>
      </c>
      <c r="V72" s="1132">
        <v>1889</v>
      </c>
      <c r="W72" s="1131">
        <f t="shared" si="71"/>
        <v>34002</v>
      </c>
      <c r="X72" s="1132">
        <v>690422</v>
      </c>
      <c r="Y72" s="1131">
        <f>X72*(G72+H72)</f>
        <v>2071266</v>
      </c>
      <c r="Z72" s="1130">
        <f>80*$AB$5*(G72+H72)</f>
        <v>117314.40000000001</v>
      </c>
      <c r="AA72" s="1135">
        <f t="shared" si="72"/>
        <v>3375259.1999999997</v>
      </c>
      <c r="AB72" s="1149">
        <f t="shared" si="73"/>
        <v>3375259.1999999997</v>
      </c>
    </row>
    <row r="73" spans="1:29">
      <c r="A73" s="1807" t="s">
        <v>38</v>
      </c>
      <c r="B73" s="1807"/>
      <c r="C73" s="1807"/>
      <c r="D73" s="1807"/>
      <c r="E73" s="1807"/>
      <c r="F73" s="1807"/>
      <c r="G73" s="1807"/>
      <c r="H73" s="1144"/>
      <c r="I73" s="1145"/>
      <c r="J73" s="1145">
        <f>SUM(J70:J72)</f>
        <v>1296000</v>
      </c>
      <c r="K73" s="1145"/>
      <c r="L73" s="1145">
        <f>SUM(L70:L72)</f>
        <v>0</v>
      </c>
      <c r="M73" s="1145"/>
      <c r="N73" s="1145">
        <f>SUM(N70:N72)</f>
        <v>849312</v>
      </c>
      <c r="O73" s="1213"/>
      <c r="P73" s="1145">
        <f>SUM(P70:P72)</f>
        <v>120000</v>
      </c>
      <c r="Q73" s="1145">
        <f>SUM(Q70:Q72)</f>
        <v>2265312</v>
      </c>
      <c r="R73" s="1228"/>
      <c r="S73" s="1145">
        <f>SUM(S70:S72)</f>
        <v>648676.80000000005</v>
      </c>
      <c r="T73" s="1228"/>
      <c r="U73" s="1145">
        <f>SUM(U70:U72)</f>
        <v>504000</v>
      </c>
      <c r="V73" s="1228"/>
      <c r="W73" s="1145">
        <f>SUM(W70:W72)</f>
        <v>34002</v>
      </c>
      <c r="X73" s="1228"/>
      <c r="Y73" s="1145">
        <f>SUM(Y70:Y72)</f>
        <v>2071266</v>
      </c>
      <c r="Z73" s="1145">
        <f>SUM(Z70:Z72)</f>
        <v>117314.40000000001</v>
      </c>
      <c r="AA73" s="1145">
        <f>SUM(AA70:AA72)</f>
        <v>3375259.1999999997</v>
      </c>
      <c r="AB73" s="1145">
        <f>SUM(AB70:AB72)</f>
        <v>5640571.1999999993</v>
      </c>
      <c r="AC73" s="1120">
        <f>AB73-AA73-Q73</f>
        <v>0</v>
      </c>
    </row>
    <row r="74" spans="1:29">
      <c r="A74" s="1819" t="s">
        <v>1352</v>
      </c>
      <c r="B74" s="1820"/>
      <c r="C74" s="1820"/>
      <c r="D74" s="1820"/>
      <c r="E74" s="1820"/>
      <c r="F74" s="1820"/>
      <c r="G74" s="1820"/>
      <c r="H74" s="1820"/>
      <c r="I74" s="1805"/>
      <c r="J74" s="1805"/>
      <c r="K74" s="1805"/>
      <c r="L74" s="1805"/>
      <c r="M74" s="1805"/>
      <c r="N74" s="1805"/>
      <c r="O74" s="1805"/>
      <c r="P74" s="1805"/>
      <c r="Q74" s="1805"/>
      <c r="R74" s="1805"/>
      <c r="S74" s="1805"/>
      <c r="T74" s="1805"/>
      <c r="U74" s="1805"/>
      <c r="V74" s="1805"/>
      <c r="W74" s="1805"/>
      <c r="X74" s="1805"/>
      <c r="Y74" s="1805"/>
      <c r="Z74" s="1805"/>
      <c r="AA74" s="1805"/>
      <c r="AB74" s="1821"/>
    </row>
    <row r="75" spans="1:29" ht="56.25">
      <c r="A75" s="1149">
        <v>45</v>
      </c>
      <c r="B75" s="1173">
        <v>1</v>
      </c>
      <c r="C75" s="1174" t="s">
        <v>1353</v>
      </c>
      <c r="D75" s="1132" t="s">
        <v>1354</v>
      </c>
      <c r="E75" s="1132" t="s">
        <v>1355</v>
      </c>
      <c r="F75" s="1166">
        <v>5</v>
      </c>
      <c r="G75" s="1166"/>
      <c r="H75" s="1149">
        <v>2</v>
      </c>
      <c r="I75" s="1149"/>
      <c r="J75" s="1149"/>
      <c r="K75" s="1149"/>
      <c r="L75" s="1149"/>
      <c r="M75" s="1149"/>
      <c r="N75" s="1149"/>
      <c r="O75" s="1133"/>
      <c r="P75" s="1133"/>
      <c r="Q75" s="1149">
        <f t="shared" ref="Q75:Q77" si="74">SUM(J75+L75+N75+P75)</f>
        <v>0</v>
      </c>
      <c r="R75" s="1130">
        <f>80*$AB$4</f>
        <v>36037.600000000006</v>
      </c>
      <c r="S75" s="1127">
        <f>R75*F75*(G75+H75)</f>
        <v>360376.00000000006</v>
      </c>
      <c r="T75" s="1130">
        <v>28000</v>
      </c>
      <c r="U75" s="1127">
        <f>T75*F75*(G75+H75)</f>
        <v>280000</v>
      </c>
      <c r="V75" s="1133">
        <v>1889</v>
      </c>
      <c r="W75" s="1131">
        <f t="shared" ref="W75:W77" si="75">V75*(G75+H75)*F75</f>
        <v>18890</v>
      </c>
      <c r="X75" s="1133">
        <v>389563</v>
      </c>
      <c r="Y75" s="1131">
        <f>X75*(G75+H75)</f>
        <v>779126</v>
      </c>
      <c r="Z75" s="1130">
        <f>80*$AB$5*(G75+H75)</f>
        <v>78209.600000000006</v>
      </c>
      <c r="AA75" s="1135">
        <f t="shared" ref="AA75:AA77" si="76">S75+U75+W75+Y75+Z75</f>
        <v>1516601.6</v>
      </c>
      <c r="AB75" s="1149">
        <f t="shared" ref="AB75:AB77" si="77">AA75+Q75</f>
        <v>1516601.6</v>
      </c>
    </row>
    <row r="76" spans="1:29" ht="56.25">
      <c r="A76" s="1149">
        <v>46</v>
      </c>
      <c r="B76" s="1173">
        <v>2</v>
      </c>
      <c r="C76" s="1174" t="s">
        <v>1356</v>
      </c>
      <c r="D76" s="1132" t="s">
        <v>1357</v>
      </c>
      <c r="E76" s="1132" t="s">
        <v>1358</v>
      </c>
      <c r="F76" s="1166">
        <v>6</v>
      </c>
      <c r="G76" s="1166"/>
      <c r="H76" s="1149">
        <v>2</v>
      </c>
      <c r="I76" s="1149"/>
      <c r="J76" s="1149"/>
      <c r="K76" s="1149"/>
      <c r="L76" s="1149"/>
      <c r="M76" s="1149"/>
      <c r="N76" s="1149"/>
      <c r="O76" s="1133"/>
      <c r="P76" s="1133"/>
      <c r="Q76" s="1149">
        <f t="shared" si="74"/>
        <v>0</v>
      </c>
      <c r="R76" s="1130">
        <f>80*$AB$4</f>
        <v>36037.600000000006</v>
      </c>
      <c r="S76" s="1127">
        <f>R76*F76*(G76+H76)</f>
        <v>432451.20000000007</v>
      </c>
      <c r="T76" s="1130">
        <v>28000</v>
      </c>
      <c r="U76" s="1127">
        <f>T76*F76*(G76+H76)</f>
        <v>336000</v>
      </c>
      <c r="V76" s="1133">
        <v>1029</v>
      </c>
      <c r="W76" s="1133">
        <f t="shared" si="75"/>
        <v>12348</v>
      </c>
      <c r="X76" s="1133">
        <v>579472</v>
      </c>
      <c r="Y76" s="1133">
        <f>X76*(G76+H76)</f>
        <v>1158944</v>
      </c>
      <c r="Z76" s="1133"/>
      <c r="AA76" s="1135">
        <f t="shared" si="76"/>
        <v>1939743.2000000002</v>
      </c>
      <c r="AB76" s="1149">
        <f t="shared" si="77"/>
        <v>1939743.2000000002</v>
      </c>
    </row>
    <row r="77" spans="1:29" ht="37.5">
      <c r="A77" s="1149">
        <v>47</v>
      </c>
      <c r="B77" s="1173">
        <v>3</v>
      </c>
      <c r="C77" s="1126" t="s">
        <v>1359</v>
      </c>
      <c r="D77" s="1132" t="s">
        <v>1360</v>
      </c>
      <c r="E77" s="1132" t="s">
        <v>1361</v>
      </c>
      <c r="F77" s="1166">
        <v>14</v>
      </c>
      <c r="G77" s="1166"/>
      <c r="H77" s="1149">
        <v>2</v>
      </c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1009052.8000000002</v>
      </c>
      <c r="T77" s="1130">
        <v>28000</v>
      </c>
      <c r="U77" s="1127">
        <f>T77*F77*(G77+H77)</f>
        <v>784000</v>
      </c>
      <c r="V77" s="1133">
        <v>1029</v>
      </c>
      <c r="W77" s="1131">
        <f t="shared" si="75"/>
        <v>28812</v>
      </c>
      <c r="X77" s="1133">
        <v>505732</v>
      </c>
      <c r="Y77" s="1131">
        <f>X77*(G77+H77)</f>
        <v>1011464</v>
      </c>
      <c r="Z77" s="1130">
        <f>40*$AB$4</f>
        <v>18018.800000000003</v>
      </c>
      <c r="AA77" s="1135">
        <f t="shared" si="76"/>
        <v>2851347.6</v>
      </c>
      <c r="AB77" s="1149">
        <f t="shared" si="77"/>
        <v>2851347.6</v>
      </c>
    </row>
    <row r="78" spans="1:29">
      <c r="A78" s="1807" t="s">
        <v>38</v>
      </c>
      <c r="B78" s="1807"/>
      <c r="C78" s="1807"/>
      <c r="D78" s="1807"/>
      <c r="E78" s="1807"/>
      <c r="F78" s="1807"/>
      <c r="G78" s="1807"/>
      <c r="H78" s="1807"/>
      <c r="I78" s="1145"/>
      <c r="J78" s="1145">
        <f>SUM(J75:J77)</f>
        <v>0</v>
      </c>
      <c r="K78" s="1145"/>
      <c r="L78" s="1145">
        <f>SUM(L75:L77)</f>
        <v>0</v>
      </c>
      <c r="M78" s="1145"/>
      <c r="N78" s="1145">
        <f>SUM(N75:N77)</f>
        <v>0</v>
      </c>
      <c r="O78" s="1213"/>
      <c r="P78" s="1145">
        <f>SUM(P75:P77)</f>
        <v>0</v>
      </c>
      <c r="Q78" s="1145">
        <f>SUM(Q75:Q77)</f>
        <v>0</v>
      </c>
      <c r="R78" s="1228"/>
      <c r="S78" s="1145">
        <f>SUM(S75:S77)</f>
        <v>1801880.0000000005</v>
      </c>
      <c r="T78" s="1228"/>
      <c r="U78" s="1145">
        <f>SUM(U75:U77)</f>
        <v>1400000</v>
      </c>
      <c r="V78" s="1228"/>
      <c r="W78" s="1145">
        <f>SUM(W75:W77)</f>
        <v>60050</v>
      </c>
      <c r="X78" s="1228"/>
      <c r="Y78" s="1145">
        <f>SUM(Y75:Y77)</f>
        <v>2949534</v>
      </c>
      <c r="Z78" s="1145">
        <f>SUM(Z75:Z77)</f>
        <v>96228.400000000009</v>
      </c>
      <c r="AA78" s="1145">
        <f>SUM(AA75:AA77)</f>
        <v>6307692.4000000004</v>
      </c>
      <c r="AB78" s="1145">
        <f>SUM(AB75:AB77)</f>
        <v>6307692.4000000004</v>
      </c>
      <c r="AC78" s="1146">
        <f>AB78-AA78-Q78</f>
        <v>0</v>
      </c>
    </row>
    <row r="79" spans="1:29">
      <c r="A79" s="1809" t="s">
        <v>1362</v>
      </c>
      <c r="B79" s="1809"/>
      <c r="C79" s="1809"/>
      <c r="D79" s="1809"/>
      <c r="E79" s="1809"/>
      <c r="F79" s="1809"/>
      <c r="G79" s="1809"/>
      <c r="H79" s="1809"/>
      <c r="I79" s="1810"/>
      <c r="J79" s="1810"/>
      <c r="K79" s="1810"/>
      <c r="L79" s="1810"/>
      <c r="M79" s="1810"/>
      <c r="N79" s="1810"/>
      <c r="O79" s="1810"/>
      <c r="P79" s="1810"/>
      <c r="Q79" s="1810"/>
      <c r="R79" s="1810"/>
      <c r="S79" s="1810"/>
      <c r="T79" s="1810"/>
      <c r="U79" s="1810"/>
      <c r="V79" s="1810"/>
      <c r="W79" s="1810"/>
      <c r="X79" s="1810"/>
      <c r="Y79" s="1810"/>
      <c r="Z79" s="1810"/>
      <c r="AA79" s="1810"/>
      <c r="AB79" s="1810"/>
    </row>
    <row r="80" spans="1:29" ht="126" customHeight="1">
      <c r="A80" s="1124">
        <v>48</v>
      </c>
      <c r="B80" s="1129">
        <v>1</v>
      </c>
      <c r="C80" s="1175" t="s">
        <v>1363</v>
      </c>
      <c r="D80" s="1149" t="s">
        <v>1364</v>
      </c>
      <c r="E80" s="1149" t="s">
        <v>1365</v>
      </c>
      <c r="F80" s="1166">
        <v>14</v>
      </c>
      <c r="G80" s="1166"/>
      <c r="H80" s="1149">
        <v>2</v>
      </c>
      <c r="I80" s="1127">
        <v>12000</v>
      </c>
      <c r="J80" s="1137">
        <f t="shared" ref="J80" si="78">(G80+H80)*I80*F80</f>
        <v>336000</v>
      </c>
      <c r="K80" s="1149">
        <f>2.5*3932</f>
        <v>9830</v>
      </c>
      <c r="L80" s="1131">
        <f t="shared" ref="L80" si="79">K80*F80*G80</f>
        <v>0</v>
      </c>
      <c r="M80" s="1138">
        <f>2*3932</f>
        <v>7864</v>
      </c>
      <c r="N80" s="1138">
        <f t="shared" ref="N80" si="80">M80*H80*F80</f>
        <v>220192</v>
      </c>
      <c r="O80" s="1133">
        <v>10000</v>
      </c>
      <c r="P80" s="1124">
        <f>O80*(H80+G80)*2</f>
        <v>40000</v>
      </c>
      <c r="Q80" s="1138">
        <f>SUM(J80+L80+N80+P80)+1000</f>
        <v>597192</v>
      </c>
      <c r="R80" s="1149"/>
      <c r="S80" s="1127"/>
      <c r="T80" s="1166"/>
      <c r="U80" s="1127"/>
      <c r="V80" s="1133"/>
      <c r="W80" s="1127">
        <f t="shared" ref="W80:W82" si="81">V80*(G80+H80)*F80</f>
        <v>0</v>
      </c>
      <c r="X80" s="1133"/>
      <c r="Y80" s="1127"/>
      <c r="Z80" s="1133"/>
      <c r="AA80" s="1149">
        <f t="shared" ref="AA80:AA82" si="82">S80+U80+W80+Y80+Z80</f>
        <v>0</v>
      </c>
      <c r="AB80" s="1135">
        <f t="shared" ref="AB80:AB82" si="83">AA80+Q80</f>
        <v>597192</v>
      </c>
    </row>
    <row r="81" spans="1:29" ht="56.25">
      <c r="A81" s="1124">
        <v>49</v>
      </c>
      <c r="B81" s="1129">
        <v>2</v>
      </c>
      <c r="C81" s="1160" t="s">
        <v>1366</v>
      </c>
      <c r="D81" s="1132" t="s">
        <v>1367</v>
      </c>
      <c r="E81" s="1132" t="s">
        <v>389</v>
      </c>
      <c r="F81" s="1166">
        <v>6</v>
      </c>
      <c r="G81" s="1166"/>
      <c r="H81" s="1149">
        <v>2</v>
      </c>
      <c r="I81" s="1149"/>
      <c r="J81" s="1137"/>
      <c r="K81" s="1149"/>
      <c r="L81" s="1131"/>
      <c r="M81" s="1138"/>
      <c r="N81" s="1138"/>
      <c r="O81" s="1133"/>
      <c r="P81" s="1124"/>
      <c r="Q81" s="1138">
        <f t="shared" ref="Q81:Q82" si="84">SUM(J81+L81+N81+P81)</f>
        <v>0</v>
      </c>
      <c r="R81" s="1130">
        <f>80*$AB$4</f>
        <v>36037.600000000006</v>
      </c>
      <c r="S81" s="1131">
        <f>R81*F81*(G81+H81)</f>
        <v>432451.20000000007</v>
      </c>
      <c r="T81" s="1130">
        <v>28000</v>
      </c>
      <c r="U81" s="1131">
        <f>T81*F81*(G81+H81)</f>
        <v>336000</v>
      </c>
      <c r="V81" s="1133">
        <v>1889</v>
      </c>
      <c r="W81" s="1131">
        <f t="shared" si="81"/>
        <v>22668</v>
      </c>
      <c r="X81" s="1130">
        <v>685846</v>
      </c>
      <c r="Y81" s="1131">
        <f>X81*(G81+H81)</f>
        <v>1371692</v>
      </c>
      <c r="Z81" s="1130">
        <f>80*$AB$5*(G81+H81)</f>
        <v>78209.600000000006</v>
      </c>
      <c r="AA81" s="1135">
        <f t="shared" si="82"/>
        <v>2241020.8000000003</v>
      </c>
      <c r="AB81" s="1135">
        <f t="shared" si="83"/>
        <v>2241020.8000000003</v>
      </c>
    </row>
    <row r="82" spans="1:29" ht="131.25">
      <c r="A82" s="1124">
        <v>50</v>
      </c>
      <c r="B82" s="1129">
        <v>3</v>
      </c>
      <c r="C82" s="1175" t="s">
        <v>1368</v>
      </c>
      <c r="D82" s="1132" t="s">
        <v>1369</v>
      </c>
      <c r="E82" s="1132" t="s">
        <v>1370</v>
      </c>
      <c r="F82" s="1166">
        <v>14</v>
      </c>
      <c r="G82" s="1166"/>
      <c r="H82" s="1149">
        <v>2</v>
      </c>
      <c r="I82" s="1149"/>
      <c r="J82" s="1149"/>
      <c r="K82" s="1149"/>
      <c r="L82" s="1149"/>
      <c r="M82" s="1149"/>
      <c r="N82" s="1149"/>
      <c r="O82" s="1133"/>
      <c r="P82" s="1133"/>
      <c r="Q82" s="1149">
        <f t="shared" si="84"/>
        <v>0</v>
      </c>
      <c r="R82" s="1130">
        <f>80*$AB$4</f>
        <v>36037.600000000006</v>
      </c>
      <c r="S82" s="1131">
        <f>R82*F82*(G82+H82)</f>
        <v>1009052.8000000002</v>
      </c>
      <c r="T82" s="1130">
        <v>28470</v>
      </c>
      <c r="U82" s="1131">
        <f>T82*F82*(G82+H82)</f>
        <v>797160</v>
      </c>
      <c r="V82" s="1133">
        <v>1029</v>
      </c>
      <c r="W82" s="1131">
        <f t="shared" si="81"/>
        <v>28812</v>
      </c>
      <c r="X82" s="1133">
        <v>505732</v>
      </c>
      <c r="Y82" s="1131">
        <f>X82*(G82+H82)</f>
        <v>1011464</v>
      </c>
      <c r="Z82" s="1130">
        <f>40*$AB$4</f>
        <v>18018.800000000003</v>
      </c>
      <c r="AA82" s="1135">
        <f t="shared" si="82"/>
        <v>2864507.6</v>
      </c>
      <c r="AB82" s="1135">
        <f t="shared" si="83"/>
        <v>2864507.6</v>
      </c>
    </row>
    <row r="83" spans="1:29">
      <c r="A83" s="1807" t="s">
        <v>38</v>
      </c>
      <c r="B83" s="1807"/>
      <c r="C83" s="1807"/>
      <c r="D83" s="1807"/>
      <c r="E83" s="1807"/>
      <c r="F83" s="1807"/>
      <c r="G83" s="1807"/>
      <c r="H83" s="1807"/>
      <c r="I83" s="1144"/>
      <c r="J83" s="1144">
        <f>SUM(J80:J82)</f>
        <v>336000</v>
      </c>
      <c r="K83" s="1144"/>
      <c r="L83" s="1144">
        <f>SUM(L80:L82)</f>
        <v>0</v>
      </c>
      <c r="M83" s="1144"/>
      <c r="N83" s="1144">
        <f>SUM(N80:N82)</f>
        <v>220192</v>
      </c>
      <c r="O83" s="1144"/>
      <c r="P83" s="1144">
        <f>SUM(P80:P82)</f>
        <v>40000</v>
      </c>
      <c r="Q83" s="1144">
        <f>SUM(Q80:Q82)</f>
        <v>597192</v>
      </c>
      <c r="R83" s="1144"/>
      <c r="S83" s="1144">
        <f>SUM(S80:S82)</f>
        <v>1441504.0000000002</v>
      </c>
      <c r="T83" s="1144"/>
      <c r="U83" s="1144">
        <f>SUM(U80:U82)</f>
        <v>1133160</v>
      </c>
      <c r="V83" s="1144"/>
      <c r="W83" s="1144">
        <f>SUM(W80:W82)</f>
        <v>51480</v>
      </c>
      <c r="X83" s="1144"/>
      <c r="Y83" s="1144">
        <f>SUM(Y80:Y82)</f>
        <v>2383156</v>
      </c>
      <c r="Z83" s="1144">
        <f>SUM(Z80:Z82)</f>
        <v>96228.400000000009</v>
      </c>
      <c r="AA83" s="1144">
        <f>SUM(AA80:AA82)</f>
        <v>5105528.4000000004</v>
      </c>
      <c r="AB83" s="1144">
        <f>SUM(AB80:AB82)</f>
        <v>5702720.4000000004</v>
      </c>
      <c r="AC83" s="1146">
        <f>AB83-AA83-Q83</f>
        <v>0</v>
      </c>
    </row>
    <row r="84" spans="1:29">
      <c r="A84" s="1822" t="s">
        <v>1152</v>
      </c>
      <c r="B84" s="1823"/>
      <c r="C84" s="1823"/>
      <c r="D84" s="1823"/>
      <c r="E84" s="1824"/>
      <c r="F84" s="1176"/>
      <c r="G84" s="1176"/>
      <c r="H84" s="1176"/>
      <c r="I84" s="1176"/>
      <c r="J84" s="1177">
        <f>J50+J44+J56+J63+J78+J83+J73+J68+J15+J21+J37+J29</f>
        <v>8712000</v>
      </c>
      <c r="K84" s="1177"/>
      <c r="L84" s="1177">
        <f>L50+L44+L56+L63+L78+L83+L73+L68+L15+L21+L37+L29</f>
        <v>0</v>
      </c>
      <c r="M84" s="1177"/>
      <c r="N84" s="1177">
        <f>N50+N44+N56+N63+N78+N83+N73+N68+N15+N21+N37+N29</f>
        <v>5756448</v>
      </c>
      <c r="O84" s="1177"/>
      <c r="P84" s="1177">
        <f>P50+P44+P56+P63+P78+P83+P73+P68+P15+P21+P37+P29</f>
        <v>1060000</v>
      </c>
      <c r="Q84" s="1177">
        <f>Q50+Q44+Q56+Q63+Q78+Q83+Q73+Q68+Q15+Q21+Q37+Q29</f>
        <v>15529448</v>
      </c>
      <c r="R84" s="1177"/>
      <c r="S84" s="1177">
        <f>S50+S44+S56+S63+S78+S83+S73+S68+S15+S21+S37+S29</f>
        <v>20709212.400000006</v>
      </c>
      <c r="T84" s="1177"/>
      <c r="U84" s="1177">
        <f>U50+U44+U56+U63+U78+U83+U73+U68+U15+U21+U37+U29</f>
        <v>15869602.6</v>
      </c>
      <c r="V84" s="1177"/>
      <c r="W84" s="1177">
        <f>W50+W44+W56+W63+W78+W83+W73+W68+W15+W21+W37+W29</f>
        <v>778183</v>
      </c>
      <c r="X84" s="1177"/>
      <c r="Y84" s="1177">
        <f>Y50+Y44+Y56+Y63+Y78+Y83+Y73+Y68+Y15+Y21+Y37+Y29</f>
        <v>38648972</v>
      </c>
      <c r="Z84" s="1177">
        <f>Z50+Z44+Z56+Z63+Z78+Z83+Z73+Z68+Z15+Z21+Z37+Z29</f>
        <v>1691449.7749999997</v>
      </c>
      <c r="AA84" s="1177">
        <f>AA50+AA44+AA56+AA63+AA78+AA83+AA73+AA68+AA15+AA21+AA37+AA29</f>
        <v>77697419.775000006</v>
      </c>
      <c r="AB84" s="1177">
        <f>AB50+AB44+AB56+AB63+AB78+AB83+AB73+AB68+AB15+AB21+AB37+AB29</f>
        <v>93226867.774999991</v>
      </c>
    </row>
    <row r="87" spans="1:29" ht="21">
      <c r="I87" s="1369" t="s">
        <v>640</v>
      </c>
      <c r="J87" s="1368"/>
      <c r="K87" s="1368"/>
      <c r="L87" s="1368"/>
      <c r="M87" s="1368"/>
      <c r="N87" s="1368"/>
      <c r="O87" s="1368"/>
      <c r="P87" s="1368"/>
      <c r="Q87" s="1368"/>
      <c r="R87" s="1369" t="s">
        <v>1167</v>
      </c>
      <c r="AA87" s="1146"/>
      <c r="AB87" s="1188"/>
      <c r="AC87" s="1146"/>
    </row>
    <row r="88" spans="1:29" ht="21">
      <c r="I88" s="1369"/>
      <c r="J88" s="1368"/>
      <c r="K88" s="1368"/>
      <c r="L88" s="1368"/>
      <c r="M88" s="1368"/>
      <c r="N88" s="1368"/>
      <c r="O88" s="1368"/>
      <c r="P88" s="1368"/>
      <c r="Q88" s="1368"/>
      <c r="R88" s="1369"/>
      <c r="AB88" s="1146"/>
      <c r="AC88" s="1146"/>
    </row>
    <row r="89" spans="1:29" ht="21">
      <c r="A89" s="674"/>
      <c r="B89" s="674"/>
      <c r="C89" s="674"/>
      <c r="D89" s="1212"/>
      <c r="E89" s="916"/>
      <c r="F89" s="917"/>
      <c r="G89" s="674" t="s">
        <v>1167</v>
      </c>
      <c r="H89" s="674"/>
      <c r="I89" s="1369"/>
      <c r="J89" s="1369"/>
      <c r="K89" s="1370"/>
      <c r="L89" s="1369"/>
      <c r="M89" s="1368"/>
      <c r="N89" s="1368"/>
      <c r="O89" s="1368"/>
      <c r="P89" s="1368"/>
      <c r="Q89" s="1368"/>
      <c r="R89" s="1369"/>
      <c r="AC89" s="1146"/>
    </row>
    <row r="90" spans="1:29" ht="21">
      <c r="A90" s="674"/>
      <c r="B90" s="674"/>
      <c r="C90" s="674"/>
      <c r="D90" s="1212"/>
      <c r="E90" s="916"/>
      <c r="F90" s="917"/>
      <c r="G90" s="674"/>
      <c r="H90" s="674"/>
      <c r="I90" s="1369" t="s">
        <v>1166</v>
      </c>
      <c r="J90" s="1371"/>
      <c r="K90" s="1370"/>
      <c r="L90" s="1371"/>
      <c r="M90" s="1368"/>
      <c r="N90" s="1368"/>
      <c r="O90" s="1368"/>
      <c r="P90" s="1368"/>
      <c r="Q90" s="1368"/>
      <c r="R90" s="1369" t="s">
        <v>1168</v>
      </c>
      <c r="W90" s="1146"/>
      <c r="AB90" s="1146"/>
    </row>
    <row r="91" spans="1:29">
      <c r="A91" s="674"/>
      <c r="B91" s="674"/>
      <c r="C91" s="674"/>
      <c r="D91" s="1212"/>
      <c r="E91" s="916"/>
      <c r="F91" s="917"/>
      <c r="G91" s="674"/>
      <c r="H91" s="674"/>
      <c r="J91" s="674"/>
      <c r="K91" s="917"/>
      <c r="L91" s="674"/>
      <c r="AB91" s="1146"/>
    </row>
    <row r="92" spans="1:29">
      <c r="A92" s="674"/>
      <c r="B92" s="674"/>
      <c r="C92" s="674"/>
      <c r="D92" s="1212"/>
      <c r="E92" s="916"/>
      <c r="F92" s="917"/>
      <c r="G92" s="674" t="s">
        <v>1168</v>
      </c>
      <c r="H92" s="674"/>
      <c r="I92" s="917"/>
      <c r="J92" s="674"/>
      <c r="K92" s="917"/>
      <c r="L92" s="674"/>
    </row>
    <row r="93" spans="1:29">
      <c r="AB93" s="1146"/>
    </row>
    <row r="94" spans="1:29">
      <c r="AA94" s="1146"/>
    </row>
  </sheetData>
  <mergeCells count="47">
    <mergeCell ref="A84:E84"/>
    <mergeCell ref="A69:AB69"/>
    <mergeCell ref="A73:G73"/>
    <mergeCell ref="A74:AB74"/>
    <mergeCell ref="A78:H78"/>
    <mergeCell ref="A79:AB79"/>
    <mergeCell ref="A83:H83"/>
    <mergeCell ref="A68:H68"/>
    <mergeCell ref="A30:AB30"/>
    <mergeCell ref="A37:E37"/>
    <mergeCell ref="A38:AB38"/>
    <mergeCell ref="A44:H44"/>
    <mergeCell ref="A45:AB45"/>
    <mergeCell ref="A50:H50"/>
    <mergeCell ref="A51:AB51"/>
    <mergeCell ref="A56:H56"/>
    <mergeCell ref="A57:AB57"/>
    <mergeCell ref="A63:H63"/>
    <mergeCell ref="A64:AB64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F45-3EC4-4342-82EB-49A6BF546692}">
  <dimension ref="A1:F37"/>
  <sheetViews>
    <sheetView tabSelected="1" zoomScaleNormal="100" workbookViewId="0">
      <selection activeCell="D19" sqref="D19"/>
    </sheetView>
  </sheetViews>
  <sheetFormatPr defaultColWidth="9.140625" defaultRowHeight="15"/>
  <cols>
    <col min="1" max="1" width="41.28515625" style="673" customWidth="1"/>
    <col min="2" max="2" width="28.42578125" style="673" customWidth="1"/>
    <col min="3" max="3" width="14.7109375" style="673" customWidth="1"/>
    <col min="4" max="4" width="16" style="673" customWidth="1"/>
    <col min="5" max="5" width="15.7109375" style="673" customWidth="1"/>
    <col min="6" max="6" width="12.140625" style="673" customWidth="1"/>
    <col min="7" max="244" width="9.140625" style="673"/>
    <col min="245" max="245" width="35.85546875" style="673" customWidth="1"/>
    <col min="246" max="246" width="12" style="673" customWidth="1"/>
    <col min="247" max="247" width="10" style="673" customWidth="1"/>
    <col min="248" max="248" width="12.7109375" style="673" customWidth="1"/>
    <col min="249" max="249" width="14.28515625" style="673" customWidth="1"/>
    <col min="250" max="250" width="12.140625" style="673" customWidth="1"/>
    <col min="251" max="251" width="12" style="673" customWidth="1"/>
    <col min="252" max="500" width="9.140625" style="673"/>
    <col min="501" max="501" width="35.85546875" style="673" customWidth="1"/>
    <col min="502" max="502" width="12" style="673" customWidth="1"/>
    <col min="503" max="503" width="10" style="673" customWidth="1"/>
    <col min="504" max="504" width="12.7109375" style="673" customWidth="1"/>
    <col min="505" max="505" width="14.28515625" style="673" customWidth="1"/>
    <col min="506" max="506" width="12.140625" style="673" customWidth="1"/>
    <col min="507" max="507" width="12" style="673" customWidth="1"/>
    <col min="508" max="756" width="9.140625" style="673"/>
    <col min="757" max="757" width="35.85546875" style="673" customWidth="1"/>
    <col min="758" max="758" width="12" style="673" customWidth="1"/>
    <col min="759" max="759" width="10" style="673" customWidth="1"/>
    <col min="760" max="760" width="12.7109375" style="673" customWidth="1"/>
    <col min="761" max="761" width="14.28515625" style="673" customWidth="1"/>
    <col min="762" max="762" width="12.140625" style="673" customWidth="1"/>
    <col min="763" max="763" width="12" style="673" customWidth="1"/>
    <col min="764" max="1012" width="9.140625" style="673"/>
    <col min="1013" max="1013" width="35.85546875" style="673" customWidth="1"/>
    <col min="1014" max="1014" width="12" style="673" customWidth="1"/>
    <col min="1015" max="1015" width="10" style="673" customWidth="1"/>
    <col min="1016" max="1016" width="12.7109375" style="673" customWidth="1"/>
    <col min="1017" max="1017" width="14.28515625" style="673" customWidth="1"/>
    <col min="1018" max="1018" width="12.140625" style="673" customWidth="1"/>
    <col min="1019" max="1019" width="12" style="673" customWidth="1"/>
    <col min="1020" max="1268" width="9.140625" style="673"/>
    <col min="1269" max="1269" width="35.85546875" style="673" customWidth="1"/>
    <col min="1270" max="1270" width="12" style="673" customWidth="1"/>
    <col min="1271" max="1271" width="10" style="673" customWidth="1"/>
    <col min="1272" max="1272" width="12.7109375" style="673" customWidth="1"/>
    <col min="1273" max="1273" width="14.28515625" style="673" customWidth="1"/>
    <col min="1274" max="1274" width="12.140625" style="673" customWidth="1"/>
    <col min="1275" max="1275" width="12" style="673" customWidth="1"/>
    <col min="1276" max="1524" width="9.140625" style="673"/>
    <col min="1525" max="1525" width="35.85546875" style="673" customWidth="1"/>
    <col min="1526" max="1526" width="12" style="673" customWidth="1"/>
    <col min="1527" max="1527" width="10" style="673" customWidth="1"/>
    <col min="1528" max="1528" width="12.7109375" style="673" customWidth="1"/>
    <col min="1529" max="1529" width="14.28515625" style="673" customWidth="1"/>
    <col min="1530" max="1530" width="12.140625" style="673" customWidth="1"/>
    <col min="1531" max="1531" width="12" style="673" customWidth="1"/>
    <col min="1532" max="1780" width="9.140625" style="673"/>
    <col min="1781" max="1781" width="35.85546875" style="673" customWidth="1"/>
    <col min="1782" max="1782" width="12" style="673" customWidth="1"/>
    <col min="1783" max="1783" width="10" style="673" customWidth="1"/>
    <col min="1784" max="1784" width="12.7109375" style="673" customWidth="1"/>
    <col min="1785" max="1785" width="14.28515625" style="673" customWidth="1"/>
    <col min="1786" max="1786" width="12.140625" style="673" customWidth="1"/>
    <col min="1787" max="1787" width="12" style="673" customWidth="1"/>
    <col min="1788" max="2036" width="9.140625" style="673"/>
    <col min="2037" max="2037" width="35.85546875" style="673" customWidth="1"/>
    <col min="2038" max="2038" width="12" style="673" customWidth="1"/>
    <col min="2039" max="2039" width="10" style="673" customWidth="1"/>
    <col min="2040" max="2040" width="12.7109375" style="673" customWidth="1"/>
    <col min="2041" max="2041" width="14.28515625" style="673" customWidth="1"/>
    <col min="2042" max="2042" width="12.140625" style="673" customWidth="1"/>
    <col min="2043" max="2043" width="12" style="673" customWidth="1"/>
    <col min="2044" max="2292" width="9.140625" style="673"/>
    <col min="2293" max="2293" width="35.85546875" style="673" customWidth="1"/>
    <col min="2294" max="2294" width="12" style="673" customWidth="1"/>
    <col min="2295" max="2295" width="10" style="673" customWidth="1"/>
    <col min="2296" max="2296" width="12.7109375" style="673" customWidth="1"/>
    <col min="2297" max="2297" width="14.28515625" style="673" customWidth="1"/>
    <col min="2298" max="2298" width="12.140625" style="673" customWidth="1"/>
    <col min="2299" max="2299" width="12" style="673" customWidth="1"/>
    <col min="2300" max="2548" width="9.140625" style="673"/>
    <col min="2549" max="2549" width="35.85546875" style="673" customWidth="1"/>
    <col min="2550" max="2550" width="12" style="673" customWidth="1"/>
    <col min="2551" max="2551" width="10" style="673" customWidth="1"/>
    <col min="2552" max="2552" width="12.7109375" style="673" customWidth="1"/>
    <col min="2553" max="2553" width="14.28515625" style="673" customWidth="1"/>
    <col min="2554" max="2554" width="12.140625" style="673" customWidth="1"/>
    <col min="2555" max="2555" width="12" style="673" customWidth="1"/>
    <col min="2556" max="2804" width="9.140625" style="673"/>
    <col min="2805" max="2805" width="35.85546875" style="673" customWidth="1"/>
    <col min="2806" max="2806" width="12" style="673" customWidth="1"/>
    <col min="2807" max="2807" width="10" style="673" customWidth="1"/>
    <col min="2808" max="2808" width="12.7109375" style="673" customWidth="1"/>
    <col min="2809" max="2809" width="14.28515625" style="673" customWidth="1"/>
    <col min="2810" max="2810" width="12.140625" style="673" customWidth="1"/>
    <col min="2811" max="2811" width="12" style="673" customWidth="1"/>
    <col min="2812" max="3060" width="9.140625" style="673"/>
    <col min="3061" max="3061" width="35.85546875" style="673" customWidth="1"/>
    <col min="3062" max="3062" width="12" style="673" customWidth="1"/>
    <col min="3063" max="3063" width="10" style="673" customWidth="1"/>
    <col min="3064" max="3064" width="12.7109375" style="673" customWidth="1"/>
    <col min="3065" max="3065" width="14.28515625" style="673" customWidth="1"/>
    <col min="3066" max="3066" width="12.140625" style="673" customWidth="1"/>
    <col min="3067" max="3067" width="12" style="673" customWidth="1"/>
    <col min="3068" max="3316" width="9.140625" style="673"/>
    <col min="3317" max="3317" width="35.85546875" style="673" customWidth="1"/>
    <col min="3318" max="3318" width="12" style="673" customWidth="1"/>
    <col min="3319" max="3319" width="10" style="673" customWidth="1"/>
    <col min="3320" max="3320" width="12.7109375" style="673" customWidth="1"/>
    <col min="3321" max="3321" width="14.28515625" style="673" customWidth="1"/>
    <col min="3322" max="3322" width="12.140625" style="673" customWidth="1"/>
    <col min="3323" max="3323" width="12" style="673" customWidth="1"/>
    <col min="3324" max="3572" width="9.140625" style="673"/>
    <col min="3573" max="3573" width="35.85546875" style="673" customWidth="1"/>
    <col min="3574" max="3574" width="12" style="673" customWidth="1"/>
    <col min="3575" max="3575" width="10" style="673" customWidth="1"/>
    <col min="3576" max="3576" width="12.7109375" style="673" customWidth="1"/>
    <col min="3577" max="3577" width="14.28515625" style="673" customWidth="1"/>
    <col min="3578" max="3578" width="12.140625" style="673" customWidth="1"/>
    <col min="3579" max="3579" width="12" style="673" customWidth="1"/>
    <col min="3580" max="3828" width="9.140625" style="673"/>
    <col min="3829" max="3829" width="35.85546875" style="673" customWidth="1"/>
    <col min="3830" max="3830" width="12" style="673" customWidth="1"/>
    <col min="3831" max="3831" width="10" style="673" customWidth="1"/>
    <col min="3832" max="3832" width="12.7109375" style="673" customWidth="1"/>
    <col min="3833" max="3833" width="14.28515625" style="673" customWidth="1"/>
    <col min="3834" max="3834" width="12.140625" style="673" customWidth="1"/>
    <col min="3835" max="3835" width="12" style="673" customWidth="1"/>
    <col min="3836" max="4084" width="9.140625" style="673"/>
    <col min="4085" max="4085" width="35.85546875" style="673" customWidth="1"/>
    <col min="4086" max="4086" width="12" style="673" customWidth="1"/>
    <col min="4087" max="4087" width="10" style="673" customWidth="1"/>
    <col min="4088" max="4088" width="12.7109375" style="673" customWidth="1"/>
    <col min="4089" max="4089" width="14.28515625" style="673" customWidth="1"/>
    <col min="4090" max="4090" width="12.140625" style="673" customWidth="1"/>
    <col min="4091" max="4091" width="12" style="673" customWidth="1"/>
    <col min="4092" max="4340" width="9.140625" style="673"/>
    <col min="4341" max="4341" width="35.85546875" style="673" customWidth="1"/>
    <col min="4342" max="4342" width="12" style="673" customWidth="1"/>
    <col min="4343" max="4343" width="10" style="673" customWidth="1"/>
    <col min="4344" max="4344" width="12.7109375" style="673" customWidth="1"/>
    <col min="4345" max="4345" width="14.28515625" style="673" customWidth="1"/>
    <col min="4346" max="4346" width="12.140625" style="673" customWidth="1"/>
    <col min="4347" max="4347" width="12" style="673" customWidth="1"/>
    <col min="4348" max="4596" width="9.140625" style="673"/>
    <col min="4597" max="4597" width="35.85546875" style="673" customWidth="1"/>
    <col min="4598" max="4598" width="12" style="673" customWidth="1"/>
    <col min="4599" max="4599" width="10" style="673" customWidth="1"/>
    <col min="4600" max="4600" width="12.7109375" style="673" customWidth="1"/>
    <col min="4601" max="4601" width="14.28515625" style="673" customWidth="1"/>
    <col min="4602" max="4602" width="12.140625" style="673" customWidth="1"/>
    <col min="4603" max="4603" width="12" style="673" customWidth="1"/>
    <col min="4604" max="4852" width="9.140625" style="673"/>
    <col min="4853" max="4853" width="35.85546875" style="673" customWidth="1"/>
    <col min="4854" max="4854" width="12" style="673" customWidth="1"/>
    <col min="4855" max="4855" width="10" style="673" customWidth="1"/>
    <col min="4856" max="4856" width="12.7109375" style="673" customWidth="1"/>
    <col min="4857" max="4857" width="14.28515625" style="673" customWidth="1"/>
    <col min="4858" max="4858" width="12.140625" style="673" customWidth="1"/>
    <col min="4859" max="4859" width="12" style="673" customWidth="1"/>
    <col min="4860" max="5108" width="9.140625" style="673"/>
    <col min="5109" max="5109" width="35.85546875" style="673" customWidth="1"/>
    <col min="5110" max="5110" width="12" style="673" customWidth="1"/>
    <col min="5111" max="5111" width="10" style="673" customWidth="1"/>
    <col min="5112" max="5112" width="12.7109375" style="673" customWidth="1"/>
    <col min="5113" max="5113" width="14.28515625" style="673" customWidth="1"/>
    <col min="5114" max="5114" width="12.140625" style="673" customWidth="1"/>
    <col min="5115" max="5115" width="12" style="673" customWidth="1"/>
    <col min="5116" max="5364" width="9.140625" style="673"/>
    <col min="5365" max="5365" width="35.85546875" style="673" customWidth="1"/>
    <col min="5366" max="5366" width="12" style="673" customWidth="1"/>
    <col min="5367" max="5367" width="10" style="673" customWidth="1"/>
    <col min="5368" max="5368" width="12.7109375" style="673" customWidth="1"/>
    <col min="5369" max="5369" width="14.28515625" style="673" customWidth="1"/>
    <col min="5370" max="5370" width="12.140625" style="673" customWidth="1"/>
    <col min="5371" max="5371" width="12" style="673" customWidth="1"/>
    <col min="5372" max="5620" width="9.140625" style="673"/>
    <col min="5621" max="5621" width="35.85546875" style="673" customWidth="1"/>
    <col min="5622" max="5622" width="12" style="673" customWidth="1"/>
    <col min="5623" max="5623" width="10" style="673" customWidth="1"/>
    <col min="5624" max="5624" width="12.7109375" style="673" customWidth="1"/>
    <col min="5625" max="5625" width="14.28515625" style="673" customWidth="1"/>
    <col min="5626" max="5626" width="12.140625" style="673" customWidth="1"/>
    <col min="5627" max="5627" width="12" style="673" customWidth="1"/>
    <col min="5628" max="5876" width="9.140625" style="673"/>
    <col min="5877" max="5877" width="35.85546875" style="673" customWidth="1"/>
    <col min="5878" max="5878" width="12" style="673" customWidth="1"/>
    <col min="5879" max="5879" width="10" style="673" customWidth="1"/>
    <col min="5880" max="5880" width="12.7109375" style="673" customWidth="1"/>
    <col min="5881" max="5881" width="14.28515625" style="673" customWidth="1"/>
    <col min="5882" max="5882" width="12.140625" style="673" customWidth="1"/>
    <col min="5883" max="5883" width="12" style="673" customWidth="1"/>
    <col min="5884" max="6132" width="9.140625" style="673"/>
    <col min="6133" max="6133" width="35.85546875" style="673" customWidth="1"/>
    <col min="6134" max="6134" width="12" style="673" customWidth="1"/>
    <col min="6135" max="6135" width="10" style="673" customWidth="1"/>
    <col min="6136" max="6136" width="12.7109375" style="673" customWidth="1"/>
    <col min="6137" max="6137" width="14.28515625" style="673" customWidth="1"/>
    <col min="6138" max="6138" width="12.140625" style="673" customWidth="1"/>
    <col min="6139" max="6139" width="12" style="673" customWidth="1"/>
    <col min="6140" max="6388" width="9.140625" style="673"/>
    <col min="6389" max="6389" width="35.85546875" style="673" customWidth="1"/>
    <col min="6390" max="6390" width="12" style="673" customWidth="1"/>
    <col min="6391" max="6391" width="10" style="673" customWidth="1"/>
    <col min="6392" max="6392" width="12.7109375" style="673" customWidth="1"/>
    <col min="6393" max="6393" width="14.28515625" style="673" customWidth="1"/>
    <col min="6394" max="6394" width="12.140625" style="673" customWidth="1"/>
    <col min="6395" max="6395" width="12" style="673" customWidth="1"/>
    <col min="6396" max="6644" width="9.140625" style="673"/>
    <col min="6645" max="6645" width="35.85546875" style="673" customWidth="1"/>
    <col min="6646" max="6646" width="12" style="673" customWidth="1"/>
    <col min="6647" max="6647" width="10" style="673" customWidth="1"/>
    <col min="6648" max="6648" width="12.7109375" style="673" customWidth="1"/>
    <col min="6649" max="6649" width="14.28515625" style="673" customWidth="1"/>
    <col min="6650" max="6650" width="12.140625" style="673" customWidth="1"/>
    <col min="6651" max="6651" width="12" style="673" customWidth="1"/>
    <col min="6652" max="6900" width="9.140625" style="673"/>
    <col min="6901" max="6901" width="35.85546875" style="673" customWidth="1"/>
    <col min="6902" max="6902" width="12" style="673" customWidth="1"/>
    <col min="6903" max="6903" width="10" style="673" customWidth="1"/>
    <col min="6904" max="6904" width="12.7109375" style="673" customWidth="1"/>
    <col min="6905" max="6905" width="14.28515625" style="673" customWidth="1"/>
    <col min="6906" max="6906" width="12.140625" style="673" customWidth="1"/>
    <col min="6907" max="6907" width="12" style="673" customWidth="1"/>
    <col min="6908" max="7156" width="9.140625" style="673"/>
    <col min="7157" max="7157" width="35.85546875" style="673" customWidth="1"/>
    <col min="7158" max="7158" width="12" style="673" customWidth="1"/>
    <col min="7159" max="7159" width="10" style="673" customWidth="1"/>
    <col min="7160" max="7160" width="12.7109375" style="673" customWidth="1"/>
    <col min="7161" max="7161" width="14.28515625" style="673" customWidth="1"/>
    <col min="7162" max="7162" width="12.140625" style="673" customWidth="1"/>
    <col min="7163" max="7163" width="12" style="673" customWidth="1"/>
    <col min="7164" max="7412" width="9.140625" style="673"/>
    <col min="7413" max="7413" width="35.85546875" style="673" customWidth="1"/>
    <col min="7414" max="7414" width="12" style="673" customWidth="1"/>
    <col min="7415" max="7415" width="10" style="673" customWidth="1"/>
    <col min="7416" max="7416" width="12.7109375" style="673" customWidth="1"/>
    <col min="7417" max="7417" width="14.28515625" style="673" customWidth="1"/>
    <col min="7418" max="7418" width="12.140625" style="673" customWidth="1"/>
    <col min="7419" max="7419" width="12" style="673" customWidth="1"/>
    <col min="7420" max="7668" width="9.140625" style="673"/>
    <col min="7669" max="7669" width="35.85546875" style="673" customWidth="1"/>
    <col min="7670" max="7670" width="12" style="673" customWidth="1"/>
    <col min="7671" max="7671" width="10" style="673" customWidth="1"/>
    <col min="7672" max="7672" width="12.7109375" style="673" customWidth="1"/>
    <col min="7673" max="7673" width="14.28515625" style="673" customWidth="1"/>
    <col min="7674" max="7674" width="12.140625" style="673" customWidth="1"/>
    <col min="7675" max="7675" width="12" style="673" customWidth="1"/>
    <col min="7676" max="7924" width="9.140625" style="673"/>
    <col min="7925" max="7925" width="35.85546875" style="673" customWidth="1"/>
    <col min="7926" max="7926" width="12" style="673" customWidth="1"/>
    <col min="7927" max="7927" width="10" style="673" customWidth="1"/>
    <col min="7928" max="7928" width="12.7109375" style="673" customWidth="1"/>
    <col min="7929" max="7929" width="14.28515625" style="673" customWidth="1"/>
    <col min="7930" max="7930" width="12.140625" style="673" customWidth="1"/>
    <col min="7931" max="7931" width="12" style="673" customWidth="1"/>
    <col min="7932" max="8180" width="9.140625" style="673"/>
    <col min="8181" max="8181" width="35.85546875" style="673" customWidth="1"/>
    <col min="8182" max="8182" width="12" style="673" customWidth="1"/>
    <col min="8183" max="8183" width="10" style="673" customWidth="1"/>
    <col min="8184" max="8184" width="12.7109375" style="673" customWidth="1"/>
    <col min="8185" max="8185" width="14.28515625" style="673" customWidth="1"/>
    <col min="8186" max="8186" width="12.140625" style="673" customWidth="1"/>
    <col min="8187" max="8187" width="12" style="673" customWidth="1"/>
    <col min="8188" max="8436" width="9.140625" style="673"/>
    <col min="8437" max="8437" width="35.85546875" style="673" customWidth="1"/>
    <col min="8438" max="8438" width="12" style="673" customWidth="1"/>
    <col min="8439" max="8439" width="10" style="673" customWidth="1"/>
    <col min="8440" max="8440" width="12.7109375" style="673" customWidth="1"/>
    <col min="8441" max="8441" width="14.28515625" style="673" customWidth="1"/>
    <col min="8442" max="8442" width="12.140625" style="673" customWidth="1"/>
    <col min="8443" max="8443" width="12" style="673" customWidth="1"/>
    <col min="8444" max="8692" width="9.140625" style="673"/>
    <col min="8693" max="8693" width="35.85546875" style="673" customWidth="1"/>
    <col min="8694" max="8694" width="12" style="673" customWidth="1"/>
    <col min="8695" max="8695" width="10" style="673" customWidth="1"/>
    <col min="8696" max="8696" width="12.7109375" style="673" customWidth="1"/>
    <col min="8697" max="8697" width="14.28515625" style="673" customWidth="1"/>
    <col min="8698" max="8698" width="12.140625" style="673" customWidth="1"/>
    <col min="8699" max="8699" width="12" style="673" customWidth="1"/>
    <col min="8700" max="8948" width="9.140625" style="673"/>
    <col min="8949" max="8949" width="35.85546875" style="673" customWidth="1"/>
    <col min="8950" max="8950" width="12" style="673" customWidth="1"/>
    <col min="8951" max="8951" width="10" style="673" customWidth="1"/>
    <col min="8952" max="8952" width="12.7109375" style="673" customWidth="1"/>
    <col min="8953" max="8953" width="14.28515625" style="673" customWidth="1"/>
    <col min="8954" max="8954" width="12.140625" style="673" customWidth="1"/>
    <col min="8955" max="8955" width="12" style="673" customWidth="1"/>
    <col min="8956" max="9204" width="9.140625" style="673"/>
    <col min="9205" max="9205" width="35.85546875" style="673" customWidth="1"/>
    <col min="9206" max="9206" width="12" style="673" customWidth="1"/>
    <col min="9207" max="9207" width="10" style="673" customWidth="1"/>
    <col min="9208" max="9208" width="12.7109375" style="673" customWidth="1"/>
    <col min="9209" max="9209" width="14.28515625" style="673" customWidth="1"/>
    <col min="9210" max="9210" width="12.140625" style="673" customWidth="1"/>
    <col min="9211" max="9211" width="12" style="673" customWidth="1"/>
    <col min="9212" max="9460" width="9.140625" style="673"/>
    <col min="9461" max="9461" width="35.85546875" style="673" customWidth="1"/>
    <col min="9462" max="9462" width="12" style="673" customWidth="1"/>
    <col min="9463" max="9463" width="10" style="673" customWidth="1"/>
    <col min="9464" max="9464" width="12.7109375" style="673" customWidth="1"/>
    <col min="9465" max="9465" width="14.28515625" style="673" customWidth="1"/>
    <col min="9466" max="9466" width="12.140625" style="673" customWidth="1"/>
    <col min="9467" max="9467" width="12" style="673" customWidth="1"/>
    <col min="9468" max="9716" width="9.140625" style="673"/>
    <col min="9717" max="9717" width="35.85546875" style="673" customWidth="1"/>
    <col min="9718" max="9718" width="12" style="673" customWidth="1"/>
    <col min="9719" max="9719" width="10" style="673" customWidth="1"/>
    <col min="9720" max="9720" width="12.7109375" style="673" customWidth="1"/>
    <col min="9721" max="9721" width="14.28515625" style="673" customWidth="1"/>
    <col min="9722" max="9722" width="12.140625" style="673" customWidth="1"/>
    <col min="9723" max="9723" width="12" style="673" customWidth="1"/>
    <col min="9724" max="9972" width="9.140625" style="673"/>
    <col min="9973" max="9973" width="35.85546875" style="673" customWidth="1"/>
    <col min="9974" max="9974" width="12" style="673" customWidth="1"/>
    <col min="9975" max="9975" width="10" style="673" customWidth="1"/>
    <col min="9976" max="9976" width="12.7109375" style="673" customWidth="1"/>
    <col min="9977" max="9977" width="14.28515625" style="673" customWidth="1"/>
    <col min="9978" max="9978" width="12.140625" style="673" customWidth="1"/>
    <col min="9979" max="9979" width="12" style="673" customWidth="1"/>
    <col min="9980" max="10228" width="9.140625" style="673"/>
    <col min="10229" max="10229" width="35.85546875" style="673" customWidth="1"/>
    <col min="10230" max="10230" width="12" style="673" customWidth="1"/>
    <col min="10231" max="10231" width="10" style="673" customWidth="1"/>
    <col min="10232" max="10232" width="12.7109375" style="673" customWidth="1"/>
    <col min="10233" max="10233" width="14.28515625" style="673" customWidth="1"/>
    <col min="10234" max="10234" width="12.140625" style="673" customWidth="1"/>
    <col min="10235" max="10235" width="12" style="673" customWidth="1"/>
    <col min="10236" max="10484" width="9.140625" style="673"/>
    <col min="10485" max="10485" width="35.85546875" style="673" customWidth="1"/>
    <col min="10486" max="10486" width="12" style="673" customWidth="1"/>
    <col min="10487" max="10487" width="10" style="673" customWidth="1"/>
    <col min="10488" max="10488" width="12.7109375" style="673" customWidth="1"/>
    <col min="10489" max="10489" width="14.28515625" style="673" customWidth="1"/>
    <col min="10490" max="10490" width="12.140625" style="673" customWidth="1"/>
    <col min="10491" max="10491" width="12" style="673" customWidth="1"/>
    <col min="10492" max="10740" width="9.140625" style="673"/>
    <col min="10741" max="10741" width="35.85546875" style="673" customWidth="1"/>
    <col min="10742" max="10742" width="12" style="673" customWidth="1"/>
    <col min="10743" max="10743" width="10" style="673" customWidth="1"/>
    <col min="10744" max="10744" width="12.7109375" style="673" customWidth="1"/>
    <col min="10745" max="10745" width="14.28515625" style="673" customWidth="1"/>
    <col min="10746" max="10746" width="12.140625" style="673" customWidth="1"/>
    <col min="10747" max="10747" width="12" style="673" customWidth="1"/>
    <col min="10748" max="10996" width="9.140625" style="673"/>
    <col min="10997" max="10997" width="35.85546875" style="673" customWidth="1"/>
    <col min="10998" max="10998" width="12" style="673" customWidth="1"/>
    <col min="10999" max="10999" width="10" style="673" customWidth="1"/>
    <col min="11000" max="11000" width="12.7109375" style="673" customWidth="1"/>
    <col min="11001" max="11001" width="14.28515625" style="673" customWidth="1"/>
    <col min="11002" max="11002" width="12.140625" style="673" customWidth="1"/>
    <col min="11003" max="11003" width="12" style="673" customWidth="1"/>
    <col min="11004" max="11252" width="9.140625" style="673"/>
    <col min="11253" max="11253" width="35.85546875" style="673" customWidth="1"/>
    <col min="11254" max="11254" width="12" style="673" customWidth="1"/>
    <col min="11255" max="11255" width="10" style="673" customWidth="1"/>
    <col min="11256" max="11256" width="12.7109375" style="673" customWidth="1"/>
    <col min="11257" max="11257" width="14.28515625" style="673" customWidth="1"/>
    <col min="11258" max="11258" width="12.140625" style="673" customWidth="1"/>
    <col min="11259" max="11259" width="12" style="673" customWidth="1"/>
    <col min="11260" max="11508" width="9.140625" style="673"/>
    <col min="11509" max="11509" width="35.85546875" style="673" customWidth="1"/>
    <col min="11510" max="11510" width="12" style="673" customWidth="1"/>
    <col min="11511" max="11511" width="10" style="673" customWidth="1"/>
    <col min="11512" max="11512" width="12.7109375" style="673" customWidth="1"/>
    <col min="11513" max="11513" width="14.28515625" style="673" customWidth="1"/>
    <col min="11514" max="11514" width="12.140625" style="673" customWidth="1"/>
    <col min="11515" max="11515" width="12" style="673" customWidth="1"/>
    <col min="11516" max="11764" width="9.140625" style="673"/>
    <col min="11765" max="11765" width="35.85546875" style="673" customWidth="1"/>
    <col min="11766" max="11766" width="12" style="673" customWidth="1"/>
    <col min="11767" max="11767" width="10" style="673" customWidth="1"/>
    <col min="11768" max="11768" width="12.7109375" style="673" customWidth="1"/>
    <col min="11769" max="11769" width="14.28515625" style="673" customWidth="1"/>
    <col min="11770" max="11770" width="12.140625" style="673" customWidth="1"/>
    <col min="11771" max="11771" width="12" style="673" customWidth="1"/>
    <col min="11772" max="12020" width="9.140625" style="673"/>
    <col min="12021" max="12021" width="35.85546875" style="673" customWidth="1"/>
    <col min="12022" max="12022" width="12" style="673" customWidth="1"/>
    <col min="12023" max="12023" width="10" style="673" customWidth="1"/>
    <col min="12024" max="12024" width="12.7109375" style="673" customWidth="1"/>
    <col min="12025" max="12025" width="14.28515625" style="673" customWidth="1"/>
    <col min="12026" max="12026" width="12.140625" style="673" customWidth="1"/>
    <col min="12027" max="12027" width="12" style="673" customWidth="1"/>
    <col min="12028" max="12276" width="9.140625" style="673"/>
    <col min="12277" max="12277" width="35.85546875" style="673" customWidth="1"/>
    <col min="12278" max="12278" width="12" style="673" customWidth="1"/>
    <col min="12279" max="12279" width="10" style="673" customWidth="1"/>
    <col min="12280" max="12280" width="12.7109375" style="673" customWidth="1"/>
    <col min="12281" max="12281" width="14.28515625" style="673" customWidth="1"/>
    <col min="12282" max="12282" width="12.140625" style="673" customWidth="1"/>
    <col min="12283" max="12283" width="12" style="673" customWidth="1"/>
    <col min="12284" max="12532" width="9.140625" style="673"/>
    <col min="12533" max="12533" width="35.85546875" style="673" customWidth="1"/>
    <col min="12534" max="12534" width="12" style="673" customWidth="1"/>
    <col min="12535" max="12535" width="10" style="673" customWidth="1"/>
    <col min="12536" max="12536" width="12.7109375" style="673" customWidth="1"/>
    <col min="12537" max="12537" width="14.28515625" style="673" customWidth="1"/>
    <col min="12538" max="12538" width="12.140625" style="673" customWidth="1"/>
    <col min="12539" max="12539" width="12" style="673" customWidth="1"/>
    <col min="12540" max="12788" width="9.140625" style="673"/>
    <col min="12789" max="12789" width="35.85546875" style="673" customWidth="1"/>
    <col min="12790" max="12790" width="12" style="673" customWidth="1"/>
    <col min="12791" max="12791" width="10" style="673" customWidth="1"/>
    <col min="12792" max="12792" width="12.7109375" style="673" customWidth="1"/>
    <col min="12793" max="12793" width="14.28515625" style="673" customWidth="1"/>
    <col min="12794" max="12794" width="12.140625" style="673" customWidth="1"/>
    <col min="12795" max="12795" width="12" style="673" customWidth="1"/>
    <col min="12796" max="13044" width="9.140625" style="673"/>
    <col min="13045" max="13045" width="35.85546875" style="673" customWidth="1"/>
    <col min="13046" max="13046" width="12" style="673" customWidth="1"/>
    <col min="13047" max="13047" width="10" style="673" customWidth="1"/>
    <col min="13048" max="13048" width="12.7109375" style="673" customWidth="1"/>
    <col min="13049" max="13049" width="14.28515625" style="673" customWidth="1"/>
    <col min="13050" max="13050" width="12.140625" style="673" customWidth="1"/>
    <col min="13051" max="13051" width="12" style="673" customWidth="1"/>
    <col min="13052" max="13300" width="9.140625" style="673"/>
    <col min="13301" max="13301" width="35.85546875" style="673" customWidth="1"/>
    <col min="13302" max="13302" width="12" style="673" customWidth="1"/>
    <col min="13303" max="13303" width="10" style="673" customWidth="1"/>
    <col min="13304" max="13304" width="12.7109375" style="673" customWidth="1"/>
    <col min="13305" max="13305" width="14.28515625" style="673" customWidth="1"/>
    <col min="13306" max="13306" width="12.140625" style="673" customWidth="1"/>
    <col min="13307" max="13307" width="12" style="673" customWidth="1"/>
    <col min="13308" max="13556" width="9.140625" style="673"/>
    <col min="13557" max="13557" width="35.85546875" style="673" customWidth="1"/>
    <col min="13558" max="13558" width="12" style="673" customWidth="1"/>
    <col min="13559" max="13559" width="10" style="673" customWidth="1"/>
    <col min="13560" max="13560" width="12.7109375" style="673" customWidth="1"/>
    <col min="13561" max="13561" width="14.28515625" style="673" customWidth="1"/>
    <col min="13562" max="13562" width="12.140625" style="673" customWidth="1"/>
    <col min="13563" max="13563" width="12" style="673" customWidth="1"/>
    <col min="13564" max="13812" width="9.140625" style="673"/>
    <col min="13813" max="13813" width="35.85546875" style="673" customWidth="1"/>
    <col min="13814" max="13814" width="12" style="673" customWidth="1"/>
    <col min="13815" max="13815" width="10" style="673" customWidth="1"/>
    <col min="13816" max="13816" width="12.7109375" style="673" customWidth="1"/>
    <col min="13817" max="13817" width="14.28515625" style="673" customWidth="1"/>
    <col min="13818" max="13818" width="12.140625" style="673" customWidth="1"/>
    <col min="13819" max="13819" width="12" style="673" customWidth="1"/>
    <col min="13820" max="14068" width="9.140625" style="673"/>
    <col min="14069" max="14069" width="35.85546875" style="673" customWidth="1"/>
    <col min="14070" max="14070" width="12" style="673" customWidth="1"/>
    <col min="14071" max="14071" width="10" style="673" customWidth="1"/>
    <col min="14072" max="14072" width="12.7109375" style="673" customWidth="1"/>
    <col min="14073" max="14073" width="14.28515625" style="673" customWidth="1"/>
    <col min="14074" max="14074" width="12.140625" style="673" customWidth="1"/>
    <col min="14075" max="14075" width="12" style="673" customWidth="1"/>
    <col min="14076" max="14324" width="9.140625" style="673"/>
    <col min="14325" max="14325" width="35.85546875" style="673" customWidth="1"/>
    <col min="14326" max="14326" width="12" style="673" customWidth="1"/>
    <col min="14327" max="14327" width="10" style="673" customWidth="1"/>
    <col min="14328" max="14328" width="12.7109375" style="673" customWidth="1"/>
    <col min="14329" max="14329" width="14.28515625" style="673" customWidth="1"/>
    <col min="14330" max="14330" width="12.140625" style="673" customWidth="1"/>
    <col min="14331" max="14331" width="12" style="673" customWidth="1"/>
    <col min="14332" max="14580" width="9.140625" style="673"/>
    <col min="14581" max="14581" width="35.85546875" style="673" customWidth="1"/>
    <col min="14582" max="14582" width="12" style="673" customWidth="1"/>
    <col min="14583" max="14583" width="10" style="673" customWidth="1"/>
    <col min="14584" max="14584" width="12.7109375" style="673" customWidth="1"/>
    <col min="14585" max="14585" width="14.28515625" style="673" customWidth="1"/>
    <col min="14586" max="14586" width="12.140625" style="673" customWidth="1"/>
    <col min="14587" max="14587" width="12" style="673" customWidth="1"/>
    <col min="14588" max="14836" width="9.140625" style="673"/>
    <col min="14837" max="14837" width="35.85546875" style="673" customWidth="1"/>
    <col min="14838" max="14838" width="12" style="673" customWidth="1"/>
    <col min="14839" max="14839" width="10" style="673" customWidth="1"/>
    <col min="14840" max="14840" width="12.7109375" style="673" customWidth="1"/>
    <col min="14841" max="14841" width="14.28515625" style="673" customWidth="1"/>
    <col min="14842" max="14842" width="12.140625" style="673" customWidth="1"/>
    <col min="14843" max="14843" width="12" style="673" customWidth="1"/>
    <col min="14844" max="15092" width="9.140625" style="673"/>
    <col min="15093" max="15093" width="35.85546875" style="673" customWidth="1"/>
    <col min="15094" max="15094" width="12" style="673" customWidth="1"/>
    <col min="15095" max="15095" width="10" style="673" customWidth="1"/>
    <col min="15096" max="15096" width="12.7109375" style="673" customWidth="1"/>
    <col min="15097" max="15097" width="14.28515625" style="673" customWidth="1"/>
    <col min="15098" max="15098" width="12.140625" style="673" customWidth="1"/>
    <col min="15099" max="15099" width="12" style="673" customWidth="1"/>
    <col min="15100" max="15348" width="9.140625" style="673"/>
    <col min="15349" max="15349" width="35.85546875" style="673" customWidth="1"/>
    <col min="15350" max="15350" width="12" style="673" customWidth="1"/>
    <col min="15351" max="15351" width="10" style="673" customWidth="1"/>
    <col min="15352" max="15352" width="12.7109375" style="673" customWidth="1"/>
    <col min="15353" max="15353" width="14.28515625" style="673" customWidth="1"/>
    <col min="15354" max="15354" width="12.140625" style="673" customWidth="1"/>
    <col min="15355" max="15355" width="12" style="673" customWidth="1"/>
    <col min="15356" max="15604" width="9.140625" style="673"/>
    <col min="15605" max="15605" width="35.85546875" style="673" customWidth="1"/>
    <col min="15606" max="15606" width="12" style="673" customWidth="1"/>
    <col min="15607" max="15607" width="10" style="673" customWidth="1"/>
    <col min="15608" max="15608" width="12.7109375" style="673" customWidth="1"/>
    <col min="15609" max="15609" width="14.28515625" style="673" customWidth="1"/>
    <col min="15610" max="15610" width="12.140625" style="673" customWidth="1"/>
    <col min="15611" max="15611" width="12" style="673" customWidth="1"/>
    <col min="15612" max="15860" width="9.140625" style="673"/>
    <col min="15861" max="15861" width="35.85546875" style="673" customWidth="1"/>
    <col min="15862" max="15862" width="12" style="673" customWidth="1"/>
    <col min="15863" max="15863" width="10" style="673" customWidth="1"/>
    <col min="15864" max="15864" width="12.7109375" style="673" customWidth="1"/>
    <col min="15865" max="15865" width="14.28515625" style="673" customWidth="1"/>
    <col min="15866" max="15866" width="12.140625" style="673" customWidth="1"/>
    <col min="15867" max="15867" width="12" style="673" customWidth="1"/>
    <col min="15868" max="16116" width="9.140625" style="673"/>
    <col min="16117" max="16117" width="35.85546875" style="673" customWidth="1"/>
    <col min="16118" max="16118" width="12" style="673" customWidth="1"/>
    <col min="16119" max="16119" width="10" style="673" customWidth="1"/>
    <col min="16120" max="16120" width="12.7109375" style="673" customWidth="1"/>
    <col min="16121" max="16121" width="14.28515625" style="673" customWidth="1"/>
    <col min="16122" max="16122" width="12.140625" style="673" customWidth="1"/>
    <col min="16123" max="16123" width="12" style="673" customWidth="1"/>
    <col min="16124" max="16384" width="9.140625" style="673"/>
  </cols>
  <sheetData>
    <row r="1" spans="1:6">
      <c r="B1" s="674"/>
    </row>
    <row r="3" spans="1:6" ht="15.75">
      <c r="A3" s="1543" t="s">
        <v>1677</v>
      </c>
      <c r="B3" s="1543"/>
    </row>
    <row r="4" spans="1:6" ht="15.75">
      <c r="A4" s="1543" t="s">
        <v>1678</v>
      </c>
      <c r="B4" s="1543"/>
    </row>
    <row r="6" spans="1:6" ht="15.75" thickBot="1">
      <c r="A6" s="675"/>
    </row>
    <row r="7" spans="1:6" ht="22.5" customHeight="1">
      <c r="A7" s="1544" t="s">
        <v>247</v>
      </c>
      <c r="B7" s="1546" t="s">
        <v>1291</v>
      </c>
    </row>
    <row r="8" spans="1:6" ht="47.25" customHeight="1">
      <c r="A8" s="1545"/>
      <c r="B8" s="1547"/>
    </row>
    <row r="9" spans="1:6">
      <c r="A9" s="921">
        <v>1</v>
      </c>
      <c r="B9" s="1502">
        <v>6</v>
      </c>
    </row>
    <row r="10" spans="1:6">
      <c r="A10" s="922"/>
      <c r="B10" s="923"/>
    </row>
    <row r="11" spans="1:6">
      <c r="A11" s="924" t="s">
        <v>612</v>
      </c>
      <c r="B11" s="1503">
        <f>SUM(B12:B27)</f>
        <v>2734429</v>
      </c>
      <c r="C11" s="678"/>
      <c r="D11" s="678"/>
      <c r="E11" s="678"/>
      <c r="F11" s="678"/>
    </row>
    <row r="12" spans="1:6" ht="20.25" customHeight="1">
      <c r="A12" s="925" t="s">
        <v>6</v>
      </c>
      <c r="B12" s="926">
        <v>1039676</v>
      </c>
      <c r="C12" s="738"/>
      <c r="D12" s="738"/>
      <c r="E12" s="738"/>
    </row>
    <row r="13" spans="1:6" ht="22.5" customHeight="1">
      <c r="A13" s="925" t="s">
        <v>613</v>
      </c>
      <c r="B13" s="927">
        <v>30515</v>
      </c>
      <c r="C13" s="738"/>
      <c r="D13" s="678"/>
      <c r="E13" s="678"/>
      <c r="F13" s="678"/>
    </row>
    <row r="14" spans="1:6" ht="32.25" customHeight="1">
      <c r="A14" s="928" t="s">
        <v>1164</v>
      </c>
      <c r="B14" s="927">
        <v>36389</v>
      </c>
      <c r="C14" s="738"/>
      <c r="D14" s="678"/>
      <c r="E14" s="678"/>
    </row>
    <row r="15" spans="1:6" ht="20.25" customHeight="1">
      <c r="A15" s="925" t="s">
        <v>614</v>
      </c>
      <c r="B15" s="927">
        <v>56143</v>
      </c>
      <c r="C15" s="738"/>
      <c r="D15" s="678"/>
      <c r="E15" s="678"/>
      <c r="F15" s="678"/>
    </row>
    <row r="16" spans="1:6" ht="36" customHeight="1">
      <c r="A16" s="929" t="s">
        <v>615</v>
      </c>
      <c r="B16" s="927">
        <v>46785</v>
      </c>
      <c r="C16" s="738"/>
      <c r="D16" s="678"/>
      <c r="E16" s="678"/>
    </row>
    <row r="17" spans="1:6" ht="27" customHeight="1">
      <c r="A17" s="930" t="s">
        <v>616</v>
      </c>
      <c r="B17" s="1504">
        <v>170</v>
      </c>
      <c r="C17" s="738"/>
      <c r="D17" s="678"/>
      <c r="E17" s="678"/>
      <c r="F17" s="679"/>
    </row>
    <row r="18" spans="1:6" ht="27" customHeight="1">
      <c r="A18" s="930" t="s">
        <v>617</v>
      </c>
      <c r="B18" s="1504">
        <v>31190</v>
      </c>
      <c r="C18" s="738"/>
      <c r="D18" s="678"/>
      <c r="E18" s="678"/>
      <c r="F18" s="678"/>
    </row>
    <row r="19" spans="1:6" ht="33" customHeight="1">
      <c r="A19" s="929" t="s">
        <v>619</v>
      </c>
      <c r="B19" s="1504">
        <v>10000</v>
      </c>
      <c r="C19" s="738"/>
      <c r="D19" s="678"/>
      <c r="E19" s="678"/>
      <c r="F19" s="678"/>
    </row>
    <row r="20" spans="1:6" ht="27.75" customHeight="1">
      <c r="A20" s="929" t="s">
        <v>618</v>
      </c>
      <c r="B20" s="1504">
        <v>2266</v>
      </c>
      <c r="C20" s="738"/>
      <c r="D20" s="678"/>
      <c r="E20" s="678"/>
    </row>
    <row r="21" spans="1:6" ht="24" customHeight="1">
      <c r="A21" s="931" t="s">
        <v>487</v>
      </c>
      <c r="B21" s="1504">
        <v>97715</v>
      </c>
      <c r="C21" s="738"/>
      <c r="D21" s="678"/>
      <c r="E21" s="678"/>
    </row>
    <row r="22" spans="1:6" ht="24" customHeight="1">
      <c r="A22" s="925" t="s">
        <v>620</v>
      </c>
      <c r="B22" s="1504">
        <v>202259</v>
      </c>
      <c r="C22" s="738"/>
      <c r="D22" s="678"/>
      <c r="E22" s="678"/>
    </row>
    <row r="23" spans="1:6" ht="20.25" customHeight="1">
      <c r="A23" s="931" t="s">
        <v>621</v>
      </c>
      <c r="B23" s="1504">
        <v>11804</v>
      </c>
      <c r="C23" s="738"/>
      <c r="D23" s="678"/>
      <c r="E23" s="678"/>
    </row>
    <row r="24" spans="1:6" ht="17.25" hidden="1" customHeight="1">
      <c r="A24" s="932" t="s">
        <v>622</v>
      </c>
      <c r="B24" s="1504"/>
      <c r="C24" s="738"/>
      <c r="D24" s="678"/>
      <c r="E24" s="678"/>
    </row>
    <row r="25" spans="1:6" ht="18.75" customHeight="1">
      <c r="A25" s="929" t="s">
        <v>623</v>
      </c>
      <c r="B25" s="1504">
        <v>153010</v>
      </c>
      <c r="C25" s="738"/>
      <c r="D25" s="678"/>
      <c r="E25" s="678"/>
    </row>
    <row r="26" spans="1:6" ht="33" customHeight="1">
      <c r="A26" s="929" t="s">
        <v>1676</v>
      </c>
      <c r="B26" s="1504">
        <v>711641</v>
      </c>
      <c r="C26" s="738"/>
      <c r="D26" s="678"/>
      <c r="E26" s="678"/>
    </row>
    <row r="27" spans="1:6" ht="15.75" customHeight="1" thickBot="1">
      <c r="A27" s="933" t="s">
        <v>31</v>
      </c>
      <c r="B27" s="934">
        <v>304866</v>
      </c>
      <c r="C27" s="738"/>
      <c r="D27" s="678"/>
      <c r="E27" s="678"/>
    </row>
    <row r="28" spans="1:6" ht="15.75" customHeight="1">
      <c r="A28" s="676"/>
      <c r="B28" s="677"/>
      <c r="C28" s="738"/>
      <c r="D28" s="678"/>
      <c r="E28" s="678"/>
    </row>
    <row r="29" spans="1:6" ht="15.75" customHeight="1">
      <c r="A29" s="674"/>
      <c r="B29" s="674"/>
      <c r="C29" s="738"/>
      <c r="D29" s="678"/>
      <c r="E29" s="678"/>
    </row>
    <row r="30" spans="1:6" ht="15.75">
      <c r="A30" s="1499"/>
      <c r="B30" s="1499"/>
    </row>
    <row r="31" spans="1:6" ht="15.75">
      <c r="A31" s="1499"/>
      <c r="B31" s="1499"/>
    </row>
    <row r="32" spans="1:6" ht="15.75">
      <c r="A32" s="1499"/>
      <c r="B32" s="1499"/>
    </row>
    <row r="33" spans="1:2" ht="15.75">
      <c r="A33" s="1499"/>
      <c r="B33" s="1499"/>
    </row>
    <row r="34" spans="1:2" ht="15.75">
      <c r="A34" s="1499"/>
      <c r="B34" s="1499"/>
    </row>
    <row r="35" spans="1:2" ht="15.75">
      <c r="A35" s="1499"/>
      <c r="B35" s="1499"/>
    </row>
    <row r="36" spans="1:2" ht="15.75">
      <c r="A36" s="1499"/>
      <c r="B36" s="1499"/>
    </row>
    <row r="37" spans="1:2" ht="15.75">
      <c r="A37" s="1499"/>
      <c r="B37" s="1501"/>
    </row>
  </sheetData>
  <mergeCells count="4">
    <mergeCell ref="A7:A8"/>
    <mergeCell ref="A3:B3"/>
    <mergeCell ref="A4:B4"/>
    <mergeCell ref="B7:B8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79998168889431442"/>
  </sheetPr>
  <dimension ref="A1:AC99"/>
  <sheetViews>
    <sheetView view="pageBreakPreview" topLeftCell="G71" zoomScale="50" zoomScaleNormal="55" zoomScaleSheetLayoutView="50" workbookViewId="0">
      <selection activeCell="M87" sqref="M87:M89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customWidth="1"/>
    <col min="8" max="8" width="6.5703125" style="1120" hidden="1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8.4257812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1292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 ht="18.75" customHeight="1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793" t="s">
        <v>278</v>
      </c>
      <c r="S7" s="1794"/>
      <c r="T7" s="1794"/>
      <c r="U7" s="1794"/>
      <c r="V7" s="1794"/>
      <c r="W7" s="1794"/>
      <c r="X7" s="1794"/>
      <c r="Y7" s="1794"/>
      <c r="Z7" s="1794"/>
      <c r="AA7" s="1795"/>
      <c r="AB7" s="1784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793" t="s">
        <v>280</v>
      </c>
      <c r="S8" s="1795"/>
      <c r="T8" s="1793" t="s">
        <v>285</v>
      </c>
      <c r="U8" s="1795"/>
      <c r="V8" s="1793" t="s">
        <v>286</v>
      </c>
      <c r="W8" s="1795"/>
      <c r="X8" s="1793" t="s">
        <v>283</v>
      </c>
      <c r="Y8" s="1795"/>
      <c r="Z8" s="1784" t="s">
        <v>287</v>
      </c>
      <c r="AA8" s="1784" t="s">
        <v>290</v>
      </c>
      <c r="AB8" s="178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27" t="s">
        <v>291</v>
      </c>
      <c r="S9" s="1227" t="s">
        <v>292</v>
      </c>
      <c r="T9" s="1227" t="s">
        <v>294</v>
      </c>
      <c r="U9" s="1227" t="s">
        <v>292</v>
      </c>
      <c r="V9" s="1227" t="s">
        <v>296</v>
      </c>
      <c r="W9" s="1227" t="s">
        <v>292</v>
      </c>
      <c r="X9" s="1227" t="s">
        <v>297</v>
      </c>
      <c r="Y9" s="1227" t="s">
        <v>4</v>
      </c>
      <c r="Z9" s="1786"/>
      <c r="AA9" s="1786"/>
      <c r="AB9" s="1786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>
        <v>15</v>
      </c>
      <c r="H11" s="1125"/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6486768.0000000009</v>
      </c>
      <c r="T11" s="1130">
        <f>60*$AB$4</f>
        <v>27028.2</v>
      </c>
      <c r="U11" s="1131">
        <f>T11*F11*(G11+H11)</f>
        <v>4865076</v>
      </c>
      <c r="V11" s="1133">
        <v>657</v>
      </c>
      <c r="W11" s="1131">
        <f t="shared" ref="W11:W14" si="1">V11*(G11+H11)*F11</f>
        <v>118260</v>
      </c>
      <c r="X11" s="1134">
        <v>267695</v>
      </c>
      <c r="Y11" s="1131">
        <f>X11*(G11+H11)</f>
        <v>4015425</v>
      </c>
      <c r="Z11" s="1130"/>
      <c r="AA11" s="1135">
        <f>S11+U11+W11+Y11+Z11</f>
        <v>15485529</v>
      </c>
      <c r="AB11" s="1135">
        <f t="shared" ref="AB11:AB14" si="2">AA11+Q11</f>
        <v>15485529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>
        <v>15</v>
      </c>
      <c r="H12" s="1125"/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2162256.0000000005</v>
      </c>
      <c r="T12" s="1130">
        <f>60*$AB$4</f>
        <v>27028.2</v>
      </c>
      <c r="U12" s="1131">
        <f>T12*F12*(G12+H12)</f>
        <v>1621692</v>
      </c>
      <c r="V12" s="1133">
        <v>657</v>
      </c>
      <c r="W12" s="1131">
        <f t="shared" si="1"/>
        <v>39420</v>
      </c>
      <c r="X12" s="1134">
        <v>267695</v>
      </c>
      <c r="Y12" s="1131">
        <f>X12*(G12+H12)</f>
        <v>4015425</v>
      </c>
      <c r="Z12" s="1130">
        <v>300000</v>
      </c>
      <c r="AA12" s="1135">
        <f t="shared" ref="AA12:AA14" si="3">S12+U12+W12+Y12+Z12</f>
        <v>8138793</v>
      </c>
      <c r="AB12" s="1135">
        <f t="shared" si="2"/>
        <v>8138793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>
        <v>15</v>
      </c>
      <c r="H13" s="1139"/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6486768.0000000009</v>
      </c>
      <c r="T13" s="1132">
        <f>60*$AB$4</f>
        <v>27028.2</v>
      </c>
      <c r="U13" s="1131">
        <f>T13*F13*(G13+H13)</f>
        <v>4865076</v>
      </c>
      <c r="V13" s="1132">
        <v>1889</v>
      </c>
      <c r="W13" s="1131">
        <f t="shared" si="1"/>
        <v>340020</v>
      </c>
      <c r="X13" s="1134">
        <v>389563</v>
      </c>
      <c r="Y13" s="1131">
        <f>X13*(G13+H13)</f>
        <v>5843445</v>
      </c>
      <c r="Z13" s="1130">
        <f>80*$AB$5*(G72+H72)</f>
        <v>586572</v>
      </c>
      <c r="AA13" s="1135">
        <f t="shared" si="3"/>
        <v>18121881</v>
      </c>
      <c r="AB13" s="1135">
        <f t="shared" si="2"/>
        <v>18121881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>
        <v>15</v>
      </c>
      <c r="H14" s="1139"/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2702820.0000000005</v>
      </c>
      <c r="T14" s="1130">
        <f>60*$AB$4</f>
        <v>27028.2</v>
      </c>
      <c r="U14" s="1131">
        <f>T14*F14*(G14+H14)</f>
        <v>2027115</v>
      </c>
      <c r="V14" s="1132">
        <v>1889</v>
      </c>
      <c r="W14" s="1131">
        <f t="shared" si="1"/>
        <v>141675</v>
      </c>
      <c r="X14" s="1134">
        <v>389563</v>
      </c>
      <c r="Y14" s="1131">
        <f>X14*(G14+H14)</f>
        <v>5843445</v>
      </c>
      <c r="Z14" s="1130">
        <v>366657</v>
      </c>
      <c r="AA14" s="1135">
        <f t="shared" si="3"/>
        <v>11081712</v>
      </c>
      <c r="AB14" s="1135">
        <f t="shared" si="2"/>
        <v>11081712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28"/>
      <c r="S15" s="1145">
        <f>SUM(S11:S14)</f>
        <v>17838612.000000004</v>
      </c>
      <c r="T15" s="1228"/>
      <c r="U15" s="1145">
        <f>SUM(U11:U14)</f>
        <v>13378959</v>
      </c>
      <c r="V15" s="1228"/>
      <c r="W15" s="1145">
        <f>SUM(W11:W14)</f>
        <v>639375</v>
      </c>
      <c r="X15" s="1228"/>
      <c r="Y15" s="1145">
        <f>SUM(Y11:Y14)</f>
        <v>19717740</v>
      </c>
      <c r="Z15" s="1145">
        <f>SUM(Z11:Z14)</f>
        <v>1253229</v>
      </c>
      <c r="AA15" s="1145">
        <f>SUM(AA11:AA14)</f>
        <v>52827915</v>
      </c>
      <c r="AB15" s="1145">
        <f>SUM(AB11:AB14)</f>
        <v>52827915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>
        <v>15</v>
      </c>
      <c r="H17" s="1125"/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7567896.0000000009</v>
      </c>
      <c r="T17" s="1132">
        <f>60*$AB$4</f>
        <v>27028.2</v>
      </c>
      <c r="U17" s="1131">
        <f>T17*F17*(G17+H17)</f>
        <v>5675922</v>
      </c>
      <c r="V17" s="1133">
        <v>657</v>
      </c>
      <c r="W17" s="1131">
        <f t="shared" ref="W17:W20" si="5">V17*(G17+H17)*F17</f>
        <v>137970</v>
      </c>
      <c r="X17" s="1134">
        <v>267695</v>
      </c>
      <c r="Y17" s="1131">
        <f>X17*(G17+H17)</f>
        <v>4015425</v>
      </c>
      <c r="Z17" s="1130"/>
      <c r="AA17" s="1135">
        <f t="shared" ref="AA17:AA20" si="6">S17+U17+W17+Y17+Z17</f>
        <v>17397213</v>
      </c>
      <c r="AB17" s="1148">
        <f t="shared" ref="AB17:AB20" si="7">Q17+AA17</f>
        <v>17397213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1436</v>
      </c>
      <c r="F18" s="1127">
        <v>15</v>
      </c>
      <c r="G18" s="1128">
        <v>15</v>
      </c>
      <c r="H18" s="1125"/>
      <c r="I18" s="1127">
        <v>12000</v>
      </c>
      <c r="J18" s="1129">
        <f>(G18+H18)*I18*14</f>
        <v>2520000</v>
      </c>
      <c r="K18" s="1149">
        <f>2.5*3932</f>
        <v>9830</v>
      </c>
      <c r="L18" s="1127">
        <f t="shared" ref="L18:L19" si="8">K18*F18*G18</f>
        <v>2211750</v>
      </c>
      <c r="M18" s="1124">
        <f>2*3932</f>
        <v>7864</v>
      </c>
      <c r="N18" s="1124">
        <f t="shared" ref="N18:N19" si="9">M18*H18*F18</f>
        <v>0</v>
      </c>
      <c r="O18" s="1124">
        <v>10000</v>
      </c>
      <c r="P18" s="1124">
        <f>O18*(H18+G18)*2</f>
        <v>300000</v>
      </c>
      <c r="Q18" s="1124">
        <f t="shared" si="4"/>
        <v>5031750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5031750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1436</v>
      </c>
      <c r="F19" s="1127">
        <v>15</v>
      </c>
      <c r="G19" s="1128">
        <v>15</v>
      </c>
      <c r="H19" s="1125"/>
      <c r="I19" s="1127">
        <v>12000</v>
      </c>
      <c r="J19" s="1129">
        <f>(G19+H19)*I19*14</f>
        <v>2520000</v>
      </c>
      <c r="K19" s="1149">
        <f>2.5*3932</f>
        <v>9830</v>
      </c>
      <c r="L19" s="1127">
        <f t="shared" si="8"/>
        <v>2211750</v>
      </c>
      <c r="M19" s="1124">
        <f>2*3932</f>
        <v>7864</v>
      </c>
      <c r="N19" s="1124">
        <f t="shared" si="9"/>
        <v>0</v>
      </c>
      <c r="O19" s="1124">
        <v>10000</v>
      </c>
      <c r="P19" s="1124">
        <f>O19*(H19+G19)*2</f>
        <v>300000</v>
      </c>
      <c r="Q19" s="1124">
        <f t="shared" si="4"/>
        <v>5031750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5031750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>
        <v>10</v>
      </c>
      <c r="H20" s="1125"/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100*$AB$6</f>
        <v>51365</v>
      </c>
      <c r="S20" s="1131">
        <f>R20*F20*(G20+H20)</f>
        <v>3081900</v>
      </c>
      <c r="T20" s="1130">
        <f>80*$AB$4</f>
        <v>36037.600000000006</v>
      </c>
      <c r="U20" s="1131">
        <f>T20*F20*(G20+H20)</f>
        <v>2162256.0000000005</v>
      </c>
      <c r="V20" s="54">
        <v>1029</v>
      </c>
      <c r="W20" s="1131">
        <f t="shared" si="5"/>
        <v>61740</v>
      </c>
      <c r="X20" s="1130">
        <v>580237</v>
      </c>
      <c r="Y20" s="1131">
        <f>X20*(G20+H20)</f>
        <v>5802370</v>
      </c>
      <c r="Z20" s="1130">
        <f>67.5*$AB$4*(G20+H20)</f>
        <v>304067.25</v>
      </c>
      <c r="AA20" s="1135">
        <f t="shared" si="6"/>
        <v>11412333.25</v>
      </c>
      <c r="AB20" s="1148">
        <f t="shared" si="7"/>
        <v>11412333.25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5040000</v>
      </c>
      <c r="K21" s="1152"/>
      <c r="L21" s="1152">
        <f>SUM(L17:L20)</f>
        <v>4423500</v>
      </c>
      <c r="M21" s="1152"/>
      <c r="N21" s="1152">
        <f>SUM(N17:N20)</f>
        <v>0</v>
      </c>
      <c r="O21" s="1152"/>
      <c r="P21" s="1152">
        <f>SUM(P17:P20)</f>
        <v>600000</v>
      </c>
      <c r="Q21" s="1152">
        <f>SUM(Q17:Q20)</f>
        <v>10063500</v>
      </c>
      <c r="R21" s="1152"/>
      <c r="S21" s="1152">
        <f>SUM(S17:S20)</f>
        <v>10649796</v>
      </c>
      <c r="T21" s="1152"/>
      <c r="U21" s="1152">
        <f>SUM(U17:U20)</f>
        <v>7838178</v>
      </c>
      <c r="V21" s="1152"/>
      <c r="W21" s="1152">
        <f>SUM(W17:W20)</f>
        <v>199710</v>
      </c>
      <c r="X21" s="1152"/>
      <c r="Y21" s="1152">
        <f>SUM(Y17:Y20)</f>
        <v>9817795</v>
      </c>
      <c r="Z21" s="1152">
        <f>SUM(Z17:Z20)</f>
        <v>304067.25</v>
      </c>
      <c r="AA21" s="1152">
        <f>SUM(AA17:AA20)</f>
        <v>28809546.25</v>
      </c>
      <c r="AB21" s="1152">
        <f>SUM(AB17:AB20)</f>
        <v>38873046.25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>
        <v>10</v>
      </c>
      <c r="H23" s="1149"/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2162256.0000000005</v>
      </c>
      <c r="T23" s="1132">
        <f>60*$AB$4</f>
        <v>27028.2</v>
      </c>
      <c r="U23" s="1127">
        <f>T23*F23*(G23+H23)</f>
        <v>1621692</v>
      </c>
      <c r="V23" s="1132">
        <v>1029</v>
      </c>
      <c r="W23" s="1127">
        <f t="shared" ref="W23:W28" si="11">V23*(G23+H23)*F23</f>
        <v>61740</v>
      </c>
      <c r="X23" s="1132">
        <v>384356</v>
      </c>
      <c r="Y23" s="1131">
        <f>X23*(G23+H23)</f>
        <v>3843560</v>
      </c>
      <c r="Z23" s="1130"/>
      <c r="AA23" s="1135">
        <f t="shared" ref="AA23:AA28" si="12">S23+U23+W23+Y23+Z23</f>
        <v>7689248</v>
      </c>
      <c r="AB23" s="1149">
        <f t="shared" ref="AB23:AB28" si="13">Q23+AA23</f>
        <v>7689248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1437</v>
      </c>
      <c r="F24" s="1127">
        <v>15</v>
      </c>
      <c r="G24" s="1149">
        <v>15</v>
      </c>
      <c r="H24" s="1149"/>
      <c r="I24" s="1127">
        <v>12000</v>
      </c>
      <c r="J24" s="1129">
        <f t="shared" ref="J24" si="14">(G24+H24)*I24*F24</f>
        <v>2700000</v>
      </c>
      <c r="K24" s="1149">
        <f>2.5*3932</f>
        <v>9830</v>
      </c>
      <c r="L24" s="1127">
        <f t="shared" ref="L24" si="15">K24*F24*G24</f>
        <v>2211750</v>
      </c>
      <c r="M24" s="1124">
        <f>2*3932</f>
        <v>7864</v>
      </c>
      <c r="N24" s="1124">
        <f t="shared" ref="N24" si="16">M24*H24*F24</f>
        <v>0</v>
      </c>
      <c r="O24" s="1124">
        <v>10000</v>
      </c>
      <c r="P24" s="1124">
        <f>O24*(H24+G24)*2</f>
        <v>300000</v>
      </c>
      <c r="Q24" s="1124">
        <f t="shared" si="10"/>
        <v>5211750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5211750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>
        <v>8</v>
      </c>
      <c r="H25" s="1149"/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1729804.8000000003</v>
      </c>
      <c r="T25" s="1130">
        <v>28000</v>
      </c>
      <c r="U25" s="1127">
        <f>T25*F25*(G25+H25)</f>
        <v>1344000</v>
      </c>
      <c r="V25" s="1132">
        <v>1889</v>
      </c>
      <c r="W25" s="1127">
        <f t="shared" si="11"/>
        <v>90672</v>
      </c>
      <c r="X25" s="1132">
        <v>805167</v>
      </c>
      <c r="Y25" s="1127">
        <f>X25*(G25+H25)</f>
        <v>6441336</v>
      </c>
      <c r="Z25" s="1130">
        <f>80*$AB$5*(G25+H25)</f>
        <v>312838.40000000002</v>
      </c>
      <c r="AA25" s="1149">
        <f t="shared" si="12"/>
        <v>9918651.2000000011</v>
      </c>
      <c r="AB25" s="1149">
        <f t="shared" si="13"/>
        <v>9918651.2000000011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>
        <v>13</v>
      </c>
      <c r="H26" s="1149"/>
      <c r="I26" s="1127">
        <v>12000</v>
      </c>
      <c r="J26" s="1129">
        <f t="shared" ref="J26:J27" si="17">(G26+H26)*I26*F26</f>
        <v>2340000</v>
      </c>
      <c r="K26" s="1149">
        <f>2.5*3932</f>
        <v>9830</v>
      </c>
      <c r="L26" s="1127">
        <f t="shared" ref="L26:L27" si="18">K26*F26*G26</f>
        <v>1916850</v>
      </c>
      <c r="M26" s="1124">
        <f>2*3932</f>
        <v>7864</v>
      </c>
      <c r="N26" s="1124">
        <f t="shared" ref="N26:N27" si="19">M26*H26*F26</f>
        <v>0</v>
      </c>
      <c r="O26" s="1124">
        <v>10000</v>
      </c>
      <c r="P26" s="1124">
        <f>O26*(H26+G26)*2</f>
        <v>260000</v>
      </c>
      <c r="Q26" s="1124">
        <f t="shared" si="10"/>
        <v>4516850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4516850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1437</v>
      </c>
      <c r="F27" s="1127">
        <v>14</v>
      </c>
      <c r="G27" s="1149">
        <v>15</v>
      </c>
      <c r="H27" s="1149"/>
      <c r="I27" s="1127">
        <v>12000</v>
      </c>
      <c r="J27" s="1137">
        <f t="shared" si="17"/>
        <v>2520000</v>
      </c>
      <c r="K27" s="1149">
        <f>2.5*3932</f>
        <v>9830</v>
      </c>
      <c r="L27" s="1131">
        <f t="shared" si="18"/>
        <v>2064300</v>
      </c>
      <c r="M27" s="1138">
        <f>2*3932</f>
        <v>7864</v>
      </c>
      <c r="N27" s="1138">
        <f t="shared" si="19"/>
        <v>0</v>
      </c>
      <c r="O27" s="1124">
        <v>10000</v>
      </c>
      <c r="P27" s="1124">
        <f>O27*(H27+G27)*2</f>
        <v>300000</v>
      </c>
      <c r="Q27" s="1138">
        <f t="shared" si="10"/>
        <v>4884300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4884300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>
        <v>10</v>
      </c>
      <c r="H28" s="1149"/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2522632.0000000005</v>
      </c>
      <c r="T28" s="1130">
        <v>28000</v>
      </c>
      <c r="U28" s="1131">
        <f>T28*F28*(G28+H28)</f>
        <v>1960000</v>
      </c>
      <c r="V28" s="1132">
        <v>1889</v>
      </c>
      <c r="W28" s="1131">
        <f t="shared" si="11"/>
        <v>132230</v>
      </c>
      <c r="X28" s="1130">
        <v>685846</v>
      </c>
      <c r="Y28" s="1131">
        <f>X28*(G28+H28)</f>
        <v>6858460</v>
      </c>
      <c r="Z28" s="1130">
        <f>80*$AB$5*(G28+H28)</f>
        <v>391048</v>
      </c>
      <c r="AA28" s="1135">
        <f t="shared" si="12"/>
        <v>11864370</v>
      </c>
      <c r="AB28" s="1149">
        <f t="shared" si="13"/>
        <v>11864370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7560000</v>
      </c>
      <c r="K29" s="1145"/>
      <c r="L29" s="1145">
        <f>SUM(L23:L28)</f>
        <v>6192900</v>
      </c>
      <c r="M29" s="1145"/>
      <c r="N29" s="1145">
        <f>SUM(N23:N28)</f>
        <v>0</v>
      </c>
      <c r="O29" s="1213"/>
      <c r="P29" s="1145">
        <f>SUM(P23:P28)</f>
        <v>860000</v>
      </c>
      <c r="Q29" s="1145">
        <f>SUM(Q23:Q28)</f>
        <v>14612900</v>
      </c>
      <c r="R29" s="1228"/>
      <c r="S29" s="1145">
        <f>SUM(S23:S28)</f>
        <v>6414692.8000000007</v>
      </c>
      <c r="T29" s="1228"/>
      <c r="U29" s="1145">
        <f>SUM(U23:U28)</f>
        <v>4925692</v>
      </c>
      <c r="V29" s="1228"/>
      <c r="W29" s="1145">
        <f>SUM(W23:W28)</f>
        <v>284642</v>
      </c>
      <c r="X29" s="1228"/>
      <c r="Y29" s="1145">
        <f>SUM(Y23:Y28)</f>
        <v>17143356</v>
      </c>
      <c r="Z29" s="1145">
        <f>SUM(Z23:Z28)</f>
        <v>703886.4</v>
      </c>
      <c r="AA29" s="1145">
        <f>SUM(AA23:AA28)</f>
        <v>29472269.200000003</v>
      </c>
      <c r="AB29" s="1145">
        <f>SUM(AB23:AB28)</f>
        <v>44085169.200000003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1437</v>
      </c>
      <c r="F31" s="1127">
        <v>15</v>
      </c>
      <c r="G31" s="1129">
        <v>10</v>
      </c>
      <c r="H31" s="1129"/>
      <c r="I31" s="1127">
        <v>12000</v>
      </c>
      <c r="J31" s="1129">
        <f t="shared" ref="J31" si="20">(G31+H31)*I31*F31</f>
        <v>1800000</v>
      </c>
      <c r="K31" s="1149">
        <f>2.5*3932</f>
        <v>9830</v>
      </c>
      <c r="L31" s="1127">
        <f t="shared" ref="L31" si="21">K31*F31*G31</f>
        <v>1474500</v>
      </c>
      <c r="M31" s="1124">
        <f>2*3932</f>
        <v>7864</v>
      </c>
      <c r="N31" s="1124">
        <f t="shared" ref="N31" si="22">M31*H31*F31</f>
        <v>0</v>
      </c>
      <c r="O31" s="1124">
        <v>10000</v>
      </c>
      <c r="P31" s="1124">
        <f>O31*(H31+G31)*2</f>
        <v>200000</v>
      </c>
      <c r="Q31" s="1124">
        <f t="shared" ref="Q31:Q36" si="23">SUM(J31+L31+N31+P31)</f>
        <v>3474500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3474500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>
        <v>10</v>
      </c>
      <c r="H32" s="1149"/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2162256.0000000005</v>
      </c>
      <c r="T32" s="1130">
        <v>28000</v>
      </c>
      <c r="U32" s="1127">
        <f>T32*F32*(G32+H32)</f>
        <v>1680000</v>
      </c>
      <c r="V32" s="1132">
        <v>1029</v>
      </c>
      <c r="W32" s="1127">
        <f t="shared" si="24"/>
        <v>61740</v>
      </c>
      <c r="X32" s="1132">
        <v>384356</v>
      </c>
      <c r="Y32" s="1131">
        <f>X32*(G32+H32)</f>
        <v>3843560</v>
      </c>
      <c r="Z32" s="1130"/>
      <c r="AA32" s="1135">
        <f t="shared" si="25"/>
        <v>7747556</v>
      </c>
      <c r="AB32" s="1149">
        <f t="shared" si="26"/>
        <v>7747556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>
        <v>10</v>
      </c>
      <c r="H33" s="1149"/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2162256.0000000005</v>
      </c>
      <c r="T33" s="1130">
        <v>28000</v>
      </c>
      <c r="U33" s="1127">
        <f>T33*F33*(G33+H33)</f>
        <v>1680000</v>
      </c>
      <c r="V33" s="1132">
        <v>1889</v>
      </c>
      <c r="W33" s="1127">
        <f t="shared" si="24"/>
        <v>113340</v>
      </c>
      <c r="X33" s="1132">
        <v>805167</v>
      </c>
      <c r="Y33" s="1127">
        <f>X33*(G33+H33)</f>
        <v>8051670</v>
      </c>
      <c r="Z33" s="1130">
        <f>80*$AB$5*(G33+H33)</f>
        <v>391048</v>
      </c>
      <c r="AA33" s="1149">
        <f t="shared" si="25"/>
        <v>12398314</v>
      </c>
      <c r="AB33" s="1149">
        <f t="shared" si="26"/>
        <v>12398314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>
        <v>10</v>
      </c>
      <c r="H34" s="1129"/>
      <c r="I34" s="1127">
        <v>12000</v>
      </c>
      <c r="J34" s="1129">
        <f t="shared" ref="J34:J35" si="27">(G34+H34)*I34*F34</f>
        <v>1800000</v>
      </c>
      <c r="K34" s="1149">
        <f>2.5*3932</f>
        <v>9830</v>
      </c>
      <c r="L34" s="1127">
        <f t="shared" ref="L34:L35" si="28">K34*F34*G34</f>
        <v>1474500</v>
      </c>
      <c r="M34" s="1124">
        <f>2*3932</f>
        <v>7864</v>
      </c>
      <c r="N34" s="1124">
        <f t="shared" ref="N34:N35" si="29">M34*H34*F34</f>
        <v>0</v>
      </c>
      <c r="O34" s="1124">
        <v>10000</v>
      </c>
      <c r="P34" s="1124">
        <f>O34*(H34+G34)*2</f>
        <v>200000</v>
      </c>
      <c r="Q34" s="1124">
        <f t="shared" si="23"/>
        <v>3474500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3474500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1437</v>
      </c>
      <c r="F35" s="1127">
        <v>14</v>
      </c>
      <c r="G35" s="1129">
        <v>10</v>
      </c>
      <c r="H35" s="1129"/>
      <c r="I35" s="1127">
        <v>12000</v>
      </c>
      <c r="J35" s="1129">
        <f t="shared" si="27"/>
        <v>1680000</v>
      </c>
      <c r="K35" s="1149">
        <f>2.5*3932</f>
        <v>9830</v>
      </c>
      <c r="L35" s="1127">
        <f t="shared" si="28"/>
        <v>1376200</v>
      </c>
      <c r="M35" s="1124">
        <f>2*3932</f>
        <v>7864</v>
      </c>
      <c r="N35" s="1124">
        <f t="shared" si="29"/>
        <v>0</v>
      </c>
      <c r="O35" s="1124">
        <v>10000</v>
      </c>
      <c r="P35" s="1124">
        <f>O35*(H35+G35)*2</f>
        <v>200000</v>
      </c>
      <c r="Q35" s="1124">
        <f t="shared" si="23"/>
        <v>3256200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3256200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>
        <v>10</v>
      </c>
      <c r="H36" s="1129"/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2522632.0000000005</v>
      </c>
      <c r="T36" s="1130">
        <v>28000</v>
      </c>
      <c r="U36" s="1131">
        <f>T36*F36*(G36+H36)</f>
        <v>1960000</v>
      </c>
      <c r="V36" s="1132">
        <v>1889</v>
      </c>
      <c r="W36" s="1131">
        <f t="shared" si="24"/>
        <v>132230</v>
      </c>
      <c r="X36" s="1130">
        <v>685846</v>
      </c>
      <c r="Y36" s="1131">
        <f>X36*(G36+H36)</f>
        <v>6858460</v>
      </c>
      <c r="Z36" s="1130">
        <f>80*$AB$5*(G36+H36)</f>
        <v>391048</v>
      </c>
      <c r="AA36" s="1135">
        <f t="shared" si="25"/>
        <v>11864370</v>
      </c>
      <c r="AB36" s="1149">
        <f t="shared" si="26"/>
        <v>11864370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5280000</v>
      </c>
      <c r="K37" s="1152"/>
      <c r="L37" s="1152">
        <f>SUM(L31:L36)</f>
        <v>4325200</v>
      </c>
      <c r="M37" s="1152"/>
      <c r="N37" s="1152">
        <f>SUM(N31:N36)</f>
        <v>0</v>
      </c>
      <c r="O37" s="1152"/>
      <c r="P37" s="1152">
        <f>SUM(P31:P36)</f>
        <v>600000</v>
      </c>
      <c r="Q37" s="1152">
        <f>SUM(Q31:Q36)</f>
        <v>10205200</v>
      </c>
      <c r="R37" s="1152"/>
      <c r="S37" s="1152">
        <f>SUM(S31:S36)</f>
        <v>6847144.0000000019</v>
      </c>
      <c r="T37" s="1152"/>
      <c r="U37" s="1152">
        <f>SUM(U31:U36)</f>
        <v>5320000</v>
      </c>
      <c r="V37" s="1152"/>
      <c r="W37" s="1152">
        <f>SUM(W31:W36)</f>
        <v>307310</v>
      </c>
      <c r="X37" s="1152"/>
      <c r="Y37" s="1152">
        <f>SUM(Y31:Y36)</f>
        <v>18753690</v>
      </c>
      <c r="Z37" s="1152">
        <f>SUM(Z31:Z36)</f>
        <v>782096</v>
      </c>
      <c r="AA37" s="1152">
        <f>SUM(AA31:AA36)</f>
        <v>32010240</v>
      </c>
      <c r="AB37" s="1152">
        <f>SUM(AB31:AB36)</f>
        <v>42215440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>
        <v>10</v>
      </c>
      <c r="H39" s="1157"/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2162256.0000000005</v>
      </c>
      <c r="T39" s="1130">
        <v>28000</v>
      </c>
      <c r="U39" s="1131">
        <f>T39*F39*(G39+H39)</f>
        <v>1680000</v>
      </c>
      <c r="V39" s="1130">
        <v>657</v>
      </c>
      <c r="W39" s="1131">
        <f t="shared" ref="W39:W43" si="31">V39*(G39+H39)*F39</f>
        <v>39420</v>
      </c>
      <c r="X39" s="1132">
        <v>366914</v>
      </c>
      <c r="Y39" s="1131">
        <f>X39*(G39+H39)</f>
        <v>3669140</v>
      </c>
      <c r="Z39" s="1130"/>
      <c r="AA39" s="1135">
        <f t="shared" ref="AA39:AA43" si="32">S39+U39+W39+Y39+Z39</f>
        <v>7550816</v>
      </c>
      <c r="AB39" s="1135">
        <f>AA39+Q39</f>
        <v>7550816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>
        <v>10</v>
      </c>
      <c r="H40" s="1157"/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2162256.0000000005</v>
      </c>
      <c r="T40" s="1130">
        <v>28000</v>
      </c>
      <c r="U40" s="1131">
        <f>T40*F40*(G40+H40)</f>
        <v>1680000</v>
      </c>
      <c r="V40" s="1130">
        <v>1889</v>
      </c>
      <c r="W40" s="1131">
        <f t="shared" si="31"/>
        <v>113340</v>
      </c>
      <c r="X40" s="1130">
        <v>685846</v>
      </c>
      <c r="Y40" s="1131">
        <f>X40*(G40+H40)</f>
        <v>6858460</v>
      </c>
      <c r="Z40" s="1130">
        <f>80*$AB$5*(G40+H40)</f>
        <v>391048</v>
      </c>
      <c r="AA40" s="1135">
        <f t="shared" si="32"/>
        <v>11205104</v>
      </c>
      <c r="AB40" s="1135">
        <f t="shared" ref="AB40:AB43" si="33">AA40+Q40</f>
        <v>11205104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>
        <v>10</v>
      </c>
      <c r="H41" s="1157"/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3603760.0000000005</v>
      </c>
      <c r="T41" s="1130">
        <v>28000</v>
      </c>
      <c r="U41" s="1138">
        <f>T41*F41*(G41+H41)</f>
        <v>2800000</v>
      </c>
      <c r="V41" s="1138">
        <v>657</v>
      </c>
      <c r="W41" s="1138">
        <f t="shared" si="31"/>
        <v>65700</v>
      </c>
      <c r="X41" s="1130">
        <v>305578</v>
      </c>
      <c r="Y41" s="1138">
        <f>X41*(G41+H41)</f>
        <v>3055780</v>
      </c>
      <c r="Z41" s="1138"/>
      <c r="AA41" s="1135">
        <f t="shared" si="32"/>
        <v>9525240</v>
      </c>
      <c r="AB41" s="1135">
        <f t="shared" si="33"/>
        <v>9525240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>
        <v>10</v>
      </c>
      <c r="H42" s="1157"/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2162256.0000000005</v>
      </c>
      <c r="T42" s="1130">
        <v>28000</v>
      </c>
      <c r="U42" s="1131">
        <f>T42*F42*(G42+H42)</f>
        <v>1680000</v>
      </c>
      <c r="V42" s="1130">
        <v>1889</v>
      </c>
      <c r="W42" s="1131">
        <f t="shared" si="31"/>
        <v>113340</v>
      </c>
      <c r="X42" s="1130">
        <v>475984</v>
      </c>
      <c r="Y42" s="1131">
        <f>X42*(G42+H42)</f>
        <v>4759840</v>
      </c>
      <c r="Z42" s="1130">
        <f>80*$AB$5*(G42+H42)</f>
        <v>391048</v>
      </c>
      <c r="AA42" s="1135">
        <f t="shared" si="32"/>
        <v>9106484</v>
      </c>
      <c r="AB42" s="1135">
        <f t="shared" si="33"/>
        <v>9106484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>
        <v>12</v>
      </c>
      <c r="H43" s="1157"/>
      <c r="I43" s="1127">
        <v>12000</v>
      </c>
      <c r="J43" s="1137">
        <f t="shared" ref="J43" si="34">(G43+H43)*I43*F43</f>
        <v>2016000</v>
      </c>
      <c r="K43" s="1149">
        <f>2.5*3932</f>
        <v>9830</v>
      </c>
      <c r="L43" s="1131">
        <f t="shared" ref="L43" si="35">K43*F43*G43</f>
        <v>1651440</v>
      </c>
      <c r="M43" s="1138">
        <f>2*3932</f>
        <v>7864</v>
      </c>
      <c r="N43" s="1138">
        <f t="shared" ref="N43" si="36">M43*H43*F43</f>
        <v>0</v>
      </c>
      <c r="O43" s="1138">
        <v>10000</v>
      </c>
      <c r="P43" s="1124">
        <f>O43*(H43+G43)*2</f>
        <v>240000</v>
      </c>
      <c r="Q43" s="1124">
        <f t="shared" si="30"/>
        <v>3907440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3907440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2016000</v>
      </c>
      <c r="K44" s="1145"/>
      <c r="L44" s="1145">
        <f>SUM(L39:L43)</f>
        <v>1651440</v>
      </c>
      <c r="M44" s="1145"/>
      <c r="N44" s="1145">
        <f>SUM(N39:N43)</f>
        <v>0</v>
      </c>
      <c r="O44" s="1213"/>
      <c r="P44" s="1145">
        <f>SUM(P39:P43)</f>
        <v>240000</v>
      </c>
      <c r="Q44" s="1145">
        <f>SUM(Q39:Q43)</f>
        <v>3907440</v>
      </c>
      <c r="R44" s="1228"/>
      <c r="S44" s="1145">
        <f>SUM(S39:S43)</f>
        <v>10090528.000000002</v>
      </c>
      <c r="T44" s="1228"/>
      <c r="U44" s="1145">
        <f>SUM(U39:U43)</f>
        <v>7840000</v>
      </c>
      <c r="V44" s="1228"/>
      <c r="W44" s="1145">
        <f>SUM(W39:W43)</f>
        <v>331800</v>
      </c>
      <c r="X44" s="1228"/>
      <c r="Y44" s="1145">
        <f>SUM(Y39:Y43)</f>
        <v>18343220</v>
      </c>
      <c r="Z44" s="1145">
        <f>SUM(Z39:Z43)</f>
        <v>782096</v>
      </c>
      <c r="AA44" s="1145">
        <f>SUM(AA39:AA43)</f>
        <v>37387644</v>
      </c>
      <c r="AB44" s="1145">
        <f>SUM(AB39:AB43)</f>
        <v>41295084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>
        <v>10</v>
      </c>
      <c r="H46" s="1159"/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2162256.0000000005</v>
      </c>
      <c r="T46" s="1130">
        <v>28000</v>
      </c>
      <c r="U46" s="1131">
        <f>T46*F46*(G46+H46)</f>
        <v>1680000</v>
      </c>
      <c r="V46" s="1130">
        <v>1889</v>
      </c>
      <c r="W46" s="1131">
        <f t="shared" ref="W46:W49" si="37">V46*(G46+H46)*F46</f>
        <v>113340</v>
      </c>
      <c r="X46" s="1130">
        <v>475984</v>
      </c>
      <c r="Y46" s="1131">
        <f>X46*(G46+H46)</f>
        <v>4759840</v>
      </c>
      <c r="Z46" s="1130">
        <f>80*$AB$5*(G46+H46)</f>
        <v>391048</v>
      </c>
      <c r="AA46" s="1135">
        <f t="shared" ref="AA46:AA49" si="38">S46+U46+W46+Y46+Z46</f>
        <v>9106484</v>
      </c>
      <c r="AB46" s="1135">
        <f>AA46+Q46</f>
        <v>9106484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>
        <v>10</v>
      </c>
      <c r="H47" s="1159"/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2162256.0000000005</v>
      </c>
      <c r="T47" s="1130">
        <v>28000</v>
      </c>
      <c r="U47" s="1131">
        <f>T47*F47*(G47+H47)</f>
        <v>1680000</v>
      </c>
      <c r="V47" s="1130">
        <v>1889</v>
      </c>
      <c r="W47" s="1131">
        <f t="shared" si="37"/>
        <v>113340</v>
      </c>
      <c r="X47" s="1130">
        <v>685846</v>
      </c>
      <c r="Y47" s="1131">
        <f>X47*(G47+H47)</f>
        <v>6858460</v>
      </c>
      <c r="Z47" s="1130">
        <f>80*$AB$5*(G47+H47)</f>
        <v>391048</v>
      </c>
      <c r="AA47" s="1135">
        <f t="shared" si="38"/>
        <v>11205104</v>
      </c>
      <c r="AB47" s="1135">
        <f>AA47+Q47</f>
        <v>11205104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>
        <v>10</v>
      </c>
      <c r="H48" s="1159"/>
      <c r="I48" s="1127">
        <v>12000</v>
      </c>
      <c r="J48" s="1137">
        <f>(G48+H48)*I48*F48</f>
        <v>1680000</v>
      </c>
      <c r="K48" s="1149">
        <f>2.5*3932</f>
        <v>9830</v>
      </c>
      <c r="L48" s="1131">
        <f>K48*F48*G48</f>
        <v>1376200</v>
      </c>
      <c r="M48" s="1138">
        <f>2*3932</f>
        <v>7864</v>
      </c>
      <c r="N48" s="1138">
        <f>M48*H48*F48</f>
        <v>0</v>
      </c>
      <c r="O48" s="1138">
        <v>10000</v>
      </c>
      <c r="P48" s="1124">
        <f>O48*(H48+G48)*2</f>
        <v>200000</v>
      </c>
      <c r="Q48" s="1124">
        <f t="shared" si="39"/>
        <v>3256200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3256200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>
        <v>10</v>
      </c>
      <c r="H49" s="1159"/>
      <c r="I49" s="1127">
        <v>12000</v>
      </c>
      <c r="J49" s="1137">
        <f>(G49+H49)*I49*F49</f>
        <v>1680000</v>
      </c>
      <c r="K49" s="1149">
        <f>2.5*3932</f>
        <v>9830</v>
      </c>
      <c r="L49" s="1131">
        <f>K49*F49*G49</f>
        <v>1376200</v>
      </c>
      <c r="M49" s="1138">
        <f>2*3932</f>
        <v>7864</v>
      </c>
      <c r="N49" s="1138">
        <f>M49*H49*F49</f>
        <v>0</v>
      </c>
      <c r="O49" s="1138">
        <v>10000</v>
      </c>
      <c r="P49" s="1124">
        <f>O49*(H49+G49)*2</f>
        <v>200000</v>
      </c>
      <c r="Q49" s="1124">
        <f t="shared" si="39"/>
        <v>3256200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3256200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3360000</v>
      </c>
      <c r="K50" s="1163"/>
      <c r="L50" s="1162">
        <f>SUM(L46:L49)</f>
        <v>2752400</v>
      </c>
      <c r="M50" s="1163"/>
      <c r="N50" s="1162">
        <f>SUM(N46:N49)</f>
        <v>0</v>
      </c>
      <c r="O50" s="1163"/>
      <c r="P50" s="1162">
        <f>SUM(P46:P49)</f>
        <v>400000</v>
      </c>
      <c r="Q50" s="1162">
        <f>SUM(Q46:Q49)</f>
        <v>6512400</v>
      </c>
      <c r="R50" s="1164"/>
      <c r="S50" s="1162">
        <f>SUM(S46:S49)</f>
        <v>4324512.0000000009</v>
      </c>
      <c r="T50" s="1164"/>
      <c r="U50" s="1162">
        <f>SUM(U46:U49)</f>
        <v>3360000</v>
      </c>
      <c r="V50" s="1164"/>
      <c r="W50" s="1162">
        <f>SUM(W46:W49)</f>
        <v>226680</v>
      </c>
      <c r="X50" s="1164"/>
      <c r="Y50" s="1162">
        <f>SUM(Y46:Y49)</f>
        <v>11618300</v>
      </c>
      <c r="Z50" s="1162">
        <f>SUM(Z46:Z49)</f>
        <v>782096</v>
      </c>
      <c r="AA50" s="1162">
        <f>SUM(AA46:AA49)</f>
        <v>20311588</v>
      </c>
      <c r="AB50" s="1162">
        <f>SUM(AB46:AB49)</f>
        <v>26823988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1438</v>
      </c>
      <c r="F52" s="1166">
        <v>10</v>
      </c>
      <c r="G52" s="1166">
        <v>10</v>
      </c>
      <c r="H52" s="1149"/>
      <c r="I52" s="1127">
        <v>12000</v>
      </c>
      <c r="J52" s="1137">
        <f t="shared" ref="J52" si="40">(G52+H52)*I52*F52</f>
        <v>1200000</v>
      </c>
      <c r="K52" s="1149">
        <f>2.5*3932</f>
        <v>9830</v>
      </c>
      <c r="L52" s="1131">
        <f t="shared" ref="L52" si="41">K52*F52*G52</f>
        <v>983000</v>
      </c>
      <c r="M52" s="1138">
        <f>2*3932</f>
        <v>7864</v>
      </c>
      <c r="N52" s="1138">
        <f t="shared" ref="N52" si="42">M52*H52*F52</f>
        <v>0</v>
      </c>
      <c r="O52" s="1133">
        <v>10000</v>
      </c>
      <c r="P52" s="1124">
        <f>O52*(H52+G52)*2</f>
        <v>200000</v>
      </c>
      <c r="Q52" s="1138">
        <f t="shared" ref="Q52:Q55" si="43">SUM(J52+L52+N52+P52)</f>
        <v>2383000</v>
      </c>
      <c r="R52" s="1166"/>
      <c r="S52" s="1149"/>
      <c r="T52" s="1166"/>
      <c r="U52" s="1149"/>
      <c r="V52" s="1133"/>
      <c r="W52" s="1133">
        <f t="shared" ref="W52:W55" si="44">V52*(G52+H52)*F52</f>
        <v>0</v>
      </c>
      <c r="X52" s="1133"/>
      <c r="Y52" s="1133"/>
      <c r="Z52" s="1133"/>
      <c r="AA52" s="1149">
        <f t="shared" ref="AA52:AA55" si="45">S52+U52+W52+Y52+Z52</f>
        <v>0</v>
      </c>
      <c r="AB52" s="1149">
        <f t="shared" ref="AB52:AB55" si="46">AA52+Q52</f>
        <v>2383000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>
        <v>10</v>
      </c>
      <c r="H53" s="1149"/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2522632.0000000005</v>
      </c>
      <c r="T53" s="1130">
        <v>28000</v>
      </c>
      <c r="U53" s="1149">
        <f>T53*F53*(G53+H53)</f>
        <v>1960000</v>
      </c>
      <c r="V53" s="1133">
        <v>1889</v>
      </c>
      <c r="W53" s="1133">
        <f t="shared" si="44"/>
        <v>132230</v>
      </c>
      <c r="X53" s="1133">
        <v>805167</v>
      </c>
      <c r="Y53" s="1133">
        <f>X53*(G53+H53)</f>
        <v>8051670</v>
      </c>
      <c r="Z53" s="1130">
        <f>80*$AB$5*(G53+H53)</f>
        <v>391048</v>
      </c>
      <c r="AA53" s="1149">
        <f t="shared" si="45"/>
        <v>13057580</v>
      </c>
      <c r="AB53" s="1149">
        <f t="shared" si="46"/>
        <v>13057580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1438</v>
      </c>
      <c r="F54" s="1166">
        <v>10</v>
      </c>
      <c r="G54" s="1167">
        <v>10</v>
      </c>
      <c r="H54" s="1149"/>
      <c r="I54" s="1127">
        <v>12000</v>
      </c>
      <c r="J54" s="1149">
        <f t="shared" ref="J54" si="47">(G54+H54)*I54*F54</f>
        <v>1200000</v>
      </c>
      <c r="K54" s="1149">
        <f>2.5*3932</f>
        <v>9830</v>
      </c>
      <c r="L54" s="1149">
        <f t="shared" ref="L54" si="48">K54*F54*G54</f>
        <v>983000</v>
      </c>
      <c r="M54" s="1149">
        <f>2*3932</f>
        <v>7864</v>
      </c>
      <c r="N54" s="1149">
        <f t="shared" ref="N54" si="49">M54*H54*F54</f>
        <v>0</v>
      </c>
      <c r="O54" s="1133">
        <v>10000</v>
      </c>
      <c r="P54" s="1124">
        <f>O54*(H54+G54)*2</f>
        <v>200000</v>
      </c>
      <c r="Q54" s="1149">
        <f t="shared" si="43"/>
        <v>2383000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2383000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>
        <v>10</v>
      </c>
      <c r="H55" s="1149"/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2522632.0000000005</v>
      </c>
      <c r="T55" s="1130">
        <v>28000</v>
      </c>
      <c r="U55" s="1149">
        <f>T55*F55*(G55+H55)</f>
        <v>1960000</v>
      </c>
      <c r="V55" s="1133">
        <v>1889</v>
      </c>
      <c r="W55" s="1133">
        <f t="shared" si="44"/>
        <v>132230</v>
      </c>
      <c r="X55" s="1133">
        <v>646916</v>
      </c>
      <c r="Y55" s="1133">
        <f>X55*(G55+H55)</f>
        <v>6469160</v>
      </c>
      <c r="Z55" s="1216">
        <f>80*$AB$5*(G55+H55)</f>
        <v>391048</v>
      </c>
      <c r="AA55" s="1149">
        <f t="shared" si="45"/>
        <v>11475070</v>
      </c>
      <c r="AB55" s="1149">
        <f t="shared" si="46"/>
        <v>11475070</v>
      </c>
    </row>
    <row r="56" spans="1:29">
      <c r="A56" s="1807" t="s">
        <v>38</v>
      </c>
      <c r="B56" s="1807"/>
      <c r="C56" s="1807"/>
      <c r="D56" s="1807"/>
      <c r="E56" s="1807"/>
      <c r="F56" s="1807"/>
      <c r="G56" s="1807"/>
      <c r="H56" s="1807"/>
      <c r="I56" s="1168"/>
      <c r="J56" s="1169">
        <f>SUM(J52:J55)</f>
        <v>2400000</v>
      </c>
      <c r="K56" s="1169"/>
      <c r="L56" s="1169">
        <f>SUM(L52:L55)</f>
        <v>1966000</v>
      </c>
      <c r="M56" s="1169"/>
      <c r="N56" s="1169">
        <f>SUM(N52:N55)</f>
        <v>0</v>
      </c>
      <c r="O56" s="1170"/>
      <c r="P56" s="1169">
        <f>SUM(P52:P55)</f>
        <v>400000</v>
      </c>
      <c r="Q56" s="1169">
        <f>SUM(Q52:Q55)</f>
        <v>4766000</v>
      </c>
      <c r="R56" s="1171"/>
      <c r="S56" s="1169">
        <f>SUM(S52:S55)</f>
        <v>5045264.0000000009</v>
      </c>
      <c r="T56" s="1171"/>
      <c r="U56" s="1169">
        <f>SUM(U52:U55)</f>
        <v>3920000</v>
      </c>
      <c r="V56" s="1170"/>
      <c r="W56" s="1169">
        <f>SUM(W52:W55)</f>
        <v>264460</v>
      </c>
      <c r="X56" s="1170"/>
      <c r="Y56" s="1169">
        <f>SUM(Y52:Y55)</f>
        <v>14520830</v>
      </c>
      <c r="Z56" s="1169">
        <f>SUM(Z52:Z55)</f>
        <v>782096</v>
      </c>
      <c r="AA56" s="1169">
        <f>SUM(AA52:AA55)</f>
        <v>24532650</v>
      </c>
      <c r="AB56" s="1169">
        <f>SUM(AB52:AB55)</f>
        <v>29298650</v>
      </c>
      <c r="AC56" s="1120">
        <f>AB56-AA56-Q56</f>
        <v>0</v>
      </c>
    </row>
    <row r="57" spans="1:29">
      <c r="A57" s="1818" t="s">
        <v>1156</v>
      </c>
      <c r="B57" s="1818"/>
      <c r="C57" s="1818"/>
      <c r="D57" s="1818"/>
      <c r="E57" s="1818"/>
      <c r="F57" s="1818"/>
      <c r="G57" s="1818"/>
      <c r="H57" s="1818"/>
      <c r="I57" s="1818"/>
      <c r="J57" s="1818"/>
      <c r="K57" s="1818"/>
      <c r="L57" s="1818"/>
      <c r="M57" s="1818"/>
      <c r="N57" s="1818"/>
      <c r="O57" s="1818"/>
      <c r="P57" s="1818"/>
      <c r="Q57" s="1818"/>
      <c r="R57" s="1818"/>
      <c r="S57" s="1818"/>
      <c r="T57" s="1818"/>
      <c r="U57" s="1818"/>
      <c r="V57" s="1818"/>
      <c r="W57" s="1818"/>
      <c r="X57" s="1818"/>
      <c r="Y57" s="1818"/>
      <c r="Z57" s="1818"/>
      <c r="AA57" s="1818"/>
      <c r="AB57" s="1818"/>
    </row>
    <row r="58" spans="1:29" ht="140.25" customHeight="1">
      <c r="A58" s="1165">
        <v>34</v>
      </c>
      <c r="B58" s="1129">
        <v>1</v>
      </c>
      <c r="C58" s="1158" t="s">
        <v>1338</v>
      </c>
      <c r="D58" s="1132" t="s">
        <v>1339</v>
      </c>
      <c r="E58" s="1132" t="s">
        <v>1438</v>
      </c>
      <c r="F58" s="1166">
        <v>15</v>
      </c>
      <c r="G58" s="1166">
        <v>10</v>
      </c>
      <c r="H58" s="1149"/>
      <c r="I58" s="1127">
        <v>12000</v>
      </c>
      <c r="J58" s="1137">
        <f t="shared" ref="J58:J59" si="50">(G58+H58)*I58*F58</f>
        <v>1800000</v>
      </c>
      <c r="K58" s="1149">
        <f>2.5*3932</f>
        <v>9830</v>
      </c>
      <c r="L58" s="1131">
        <f t="shared" ref="L58:L59" si="51">K58*F58*G58</f>
        <v>1474500</v>
      </c>
      <c r="M58" s="1138">
        <f>2*3932</f>
        <v>7864</v>
      </c>
      <c r="N58" s="1138">
        <f t="shared" ref="N58:N59" si="52">M58*H58*F58</f>
        <v>0</v>
      </c>
      <c r="O58" s="1133">
        <v>10000</v>
      </c>
      <c r="P58" s="1124">
        <f>O58*(H58+G58)*2</f>
        <v>200000</v>
      </c>
      <c r="Q58" s="1138">
        <f t="shared" ref="Q58:Q62" si="53">SUM(J58+L58+N58+P58)</f>
        <v>3474500</v>
      </c>
      <c r="R58" s="1166"/>
      <c r="S58" s="1149"/>
      <c r="T58" s="1166"/>
      <c r="U58" s="1149"/>
      <c r="V58" s="1133"/>
      <c r="W58" s="1133">
        <f t="shared" ref="W58:W62" si="54">V58*(G58+H58)*F58</f>
        <v>0</v>
      </c>
      <c r="X58" s="1133"/>
      <c r="Y58" s="1133"/>
      <c r="Z58" s="1133"/>
      <c r="AA58" s="1149">
        <f t="shared" ref="AA58:AA62" si="55">S58+U58+W58+Y58+Z58</f>
        <v>0</v>
      </c>
      <c r="AB58" s="1149">
        <f t="shared" ref="AB58:AB62" si="56">AA58+Q58</f>
        <v>3474500</v>
      </c>
    </row>
    <row r="59" spans="1:29" ht="144.75" customHeight="1">
      <c r="A59" s="1165">
        <v>35</v>
      </c>
      <c r="B59" s="1129">
        <v>2</v>
      </c>
      <c r="C59" s="1158" t="s">
        <v>1106</v>
      </c>
      <c r="D59" s="1132" t="s">
        <v>1312</v>
      </c>
      <c r="E59" s="1132" t="s">
        <v>1438</v>
      </c>
      <c r="F59" s="1166">
        <v>10</v>
      </c>
      <c r="G59" s="1166">
        <v>10</v>
      </c>
      <c r="H59" s="1149"/>
      <c r="I59" s="1127">
        <v>12000</v>
      </c>
      <c r="J59" s="1137">
        <f t="shared" si="50"/>
        <v>1200000</v>
      </c>
      <c r="K59" s="1149">
        <f>2.5*3932</f>
        <v>9830</v>
      </c>
      <c r="L59" s="1131">
        <f t="shared" si="51"/>
        <v>983000</v>
      </c>
      <c r="M59" s="1138">
        <f>2*3932</f>
        <v>7864</v>
      </c>
      <c r="N59" s="1138">
        <f t="shared" si="52"/>
        <v>0</v>
      </c>
      <c r="O59" s="1133">
        <v>10000</v>
      </c>
      <c r="P59" s="1124">
        <f>O59*(H59+G59)*2</f>
        <v>200000</v>
      </c>
      <c r="Q59" s="1138">
        <f t="shared" si="53"/>
        <v>2383000</v>
      </c>
      <c r="R59" s="1166"/>
      <c r="S59" s="1149"/>
      <c r="T59" s="1166"/>
      <c r="U59" s="1149"/>
      <c r="V59" s="1133"/>
      <c r="W59" s="1133">
        <f t="shared" si="54"/>
        <v>0</v>
      </c>
      <c r="X59" s="1133"/>
      <c r="Y59" s="1133"/>
      <c r="Z59" s="1133"/>
      <c r="AA59" s="1149">
        <f t="shared" si="55"/>
        <v>0</v>
      </c>
      <c r="AB59" s="1149">
        <f t="shared" si="56"/>
        <v>2383000</v>
      </c>
    </row>
    <row r="60" spans="1:29" ht="37.5">
      <c r="A60" s="1165">
        <v>36</v>
      </c>
      <c r="B60" s="1129">
        <v>3</v>
      </c>
      <c r="C60" s="1156" t="s">
        <v>383</v>
      </c>
      <c r="D60" s="1132" t="s">
        <v>1340</v>
      </c>
      <c r="E60" s="1132" t="s">
        <v>953</v>
      </c>
      <c r="F60" s="1166">
        <v>7</v>
      </c>
      <c r="G60" s="1166">
        <v>6</v>
      </c>
      <c r="H60" s="1172"/>
      <c r="I60" s="1149"/>
      <c r="J60" s="1149"/>
      <c r="K60" s="1149"/>
      <c r="L60" s="1149"/>
      <c r="M60" s="1149"/>
      <c r="N60" s="1149"/>
      <c r="O60" s="1133"/>
      <c r="P60" s="1133"/>
      <c r="Q60" s="1149">
        <f t="shared" si="53"/>
        <v>0</v>
      </c>
      <c r="R60" s="1130">
        <f>80*$AB$4</f>
        <v>36037.600000000006</v>
      </c>
      <c r="S60" s="1127">
        <f>R60*F60*(G60+H60)</f>
        <v>1513579.2000000002</v>
      </c>
      <c r="T60" s="1130">
        <v>28000</v>
      </c>
      <c r="U60" s="1131">
        <f>T60*F60*(G60+H60)</f>
        <v>1176000</v>
      </c>
      <c r="V60" s="1133">
        <v>1889</v>
      </c>
      <c r="W60" s="1131">
        <f t="shared" si="54"/>
        <v>79338</v>
      </c>
      <c r="X60" s="1133">
        <v>442311</v>
      </c>
      <c r="Y60" s="1131">
        <f>X60*(G60+H60)</f>
        <v>2653866</v>
      </c>
      <c r="Z60" s="1130">
        <f>80*$AB$5*(G60+H60)</f>
        <v>234628.80000000002</v>
      </c>
      <c r="AA60" s="1135">
        <f>S60+U60+W60+Y60+Z60</f>
        <v>5657412</v>
      </c>
      <c r="AB60" s="1149">
        <f t="shared" si="56"/>
        <v>5657412</v>
      </c>
    </row>
    <row r="61" spans="1:29" ht="146.25" customHeight="1">
      <c r="A61" s="1165">
        <v>37</v>
      </c>
      <c r="B61" s="1129">
        <v>4</v>
      </c>
      <c r="C61" s="1158" t="s">
        <v>1106</v>
      </c>
      <c r="D61" s="1132" t="s">
        <v>1341</v>
      </c>
      <c r="E61" s="1132" t="s">
        <v>1438</v>
      </c>
      <c r="F61" s="1166">
        <v>9</v>
      </c>
      <c r="G61" s="1166">
        <v>8</v>
      </c>
      <c r="H61" s="1149"/>
      <c r="I61" s="1127">
        <v>12000</v>
      </c>
      <c r="J61" s="1137">
        <f t="shared" ref="J61" si="57">(G61+H61)*I61*F61</f>
        <v>864000</v>
      </c>
      <c r="K61" s="1149">
        <f>2.5*3932</f>
        <v>9830</v>
      </c>
      <c r="L61" s="1131">
        <f t="shared" ref="L61" si="58">K61*F61*G61</f>
        <v>707760</v>
      </c>
      <c r="M61" s="1138">
        <f>2*3932</f>
        <v>7864</v>
      </c>
      <c r="N61" s="1138">
        <f t="shared" ref="N61" si="59">M61*H61*F61</f>
        <v>0</v>
      </c>
      <c r="O61" s="1133">
        <v>10000</v>
      </c>
      <c r="P61" s="1124">
        <f>O61*(H61+G61)*2</f>
        <v>160000</v>
      </c>
      <c r="Q61" s="1138">
        <f t="shared" si="53"/>
        <v>1731760</v>
      </c>
      <c r="R61" s="1166"/>
      <c r="S61" s="1149"/>
      <c r="T61" s="1166"/>
      <c r="U61" s="1149"/>
      <c r="V61" s="1133"/>
      <c r="W61" s="1133">
        <f t="shared" si="54"/>
        <v>0</v>
      </c>
      <c r="X61" s="1133"/>
      <c r="Y61" s="1133"/>
      <c r="Z61" s="1133"/>
      <c r="AA61" s="1149">
        <f t="shared" si="55"/>
        <v>0</v>
      </c>
      <c r="AB61" s="1149">
        <f t="shared" si="56"/>
        <v>1731760</v>
      </c>
    </row>
    <row r="62" spans="1:29" ht="37.5">
      <c r="A62" s="1165">
        <v>38</v>
      </c>
      <c r="B62" s="1129">
        <v>5</v>
      </c>
      <c r="C62" s="1156" t="s">
        <v>383</v>
      </c>
      <c r="D62" s="1132" t="s">
        <v>386</v>
      </c>
      <c r="E62" s="1132" t="s">
        <v>927</v>
      </c>
      <c r="F62" s="1166">
        <v>7</v>
      </c>
      <c r="G62" s="1166">
        <v>7</v>
      </c>
      <c r="H62" s="1149"/>
      <c r="I62" s="1149"/>
      <c r="J62" s="1137"/>
      <c r="K62" s="1149"/>
      <c r="L62" s="1131"/>
      <c r="M62" s="1138"/>
      <c r="N62" s="1138"/>
      <c r="O62" s="1133"/>
      <c r="P62" s="1124"/>
      <c r="Q62" s="1138">
        <f t="shared" si="53"/>
        <v>0</v>
      </c>
      <c r="R62" s="1130">
        <f>80*$AB$4</f>
        <v>36037.600000000006</v>
      </c>
      <c r="S62" s="1149">
        <f>R62*F62*(G62+H62)</f>
        <v>1765842.4000000004</v>
      </c>
      <c r="T62" s="1130">
        <v>28000</v>
      </c>
      <c r="U62" s="1149">
        <f>T62*F62*(G62+H62)</f>
        <v>1372000</v>
      </c>
      <c r="V62" s="1133">
        <v>1889</v>
      </c>
      <c r="W62" s="1133">
        <f t="shared" si="54"/>
        <v>92561</v>
      </c>
      <c r="X62" s="1133">
        <v>646412</v>
      </c>
      <c r="Y62" s="1133">
        <f>X62*(G62+H62)</f>
        <v>4524884</v>
      </c>
      <c r="Z62" s="1130">
        <f>80*$AB$5*(G62+H62)</f>
        <v>273733.60000000003</v>
      </c>
      <c r="AA62" s="1149">
        <f t="shared" si="55"/>
        <v>8029021</v>
      </c>
      <c r="AB62" s="1149">
        <f t="shared" si="56"/>
        <v>8029021</v>
      </c>
    </row>
    <row r="63" spans="1:29">
      <c r="A63" s="1796"/>
      <c r="B63" s="1797"/>
      <c r="C63" s="1797"/>
      <c r="D63" s="1797"/>
      <c r="E63" s="1797"/>
      <c r="F63" s="1797"/>
      <c r="G63" s="1797"/>
      <c r="H63" s="1798"/>
      <c r="I63" s="1145"/>
      <c r="J63" s="1145">
        <f>SUM(J58:J62)</f>
        <v>3864000</v>
      </c>
      <c r="K63" s="1145"/>
      <c r="L63" s="1145">
        <f>SUM(L58:L62)</f>
        <v>3165260</v>
      </c>
      <c r="M63" s="1145"/>
      <c r="N63" s="1145">
        <f>SUM(N58:N62)</f>
        <v>0</v>
      </c>
      <c r="O63" s="1213"/>
      <c r="P63" s="1145">
        <f>SUM(P58:P62)</f>
        <v>560000</v>
      </c>
      <c r="Q63" s="1145">
        <f>SUM(Q58:Q62)</f>
        <v>7589260</v>
      </c>
      <c r="R63" s="1228"/>
      <c r="S63" s="1145">
        <f>SUM(S58:S62)</f>
        <v>3279421.6000000006</v>
      </c>
      <c r="T63" s="1228"/>
      <c r="U63" s="1145">
        <f>SUM(U58:U62)</f>
        <v>2548000</v>
      </c>
      <c r="V63" s="1228"/>
      <c r="W63" s="1145">
        <f>SUM(W58:W62)</f>
        <v>171899</v>
      </c>
      <c r="X63" s="1228"/>
      <c r="Y63" s="1145">
        <f>SUM(Y58:Y62)</f>
        <v>7178750</v>
      </c>
      <c r="Z63" s="1145">
        <f>SUM(Z58:Z62)</f>
        <v>508362.4</v>
      </c>
      <c r="AA63" s="1145">
        <f>SUM(AA58:AA62)</f>
        <v>13686433</v>
      </c>
      <c r="AB63" s="1145">
        <f>SUM(AB58:AB62)</f>
        <v>21275693</v>
      </c>
      <c r="AC63" s="1120">
        <f>AB63-AA63-Q63</f>
        <v>0</v>
      </c>
    </row>
    <row r="64" spans="1:29">
      <c r="A64" s="1819" t="s">
        <v>1342</v>
      </c>
      <c r="B64" s="1820"/>
      <c r="C64" s="1820"/>
      <c r="D64" s="1820"/>
      <c r="E64" s="1820"/>
      <c r="F64" s="1820"/>
      <c r="G64" s="1820"/>
      <c r="H64" s="1820"/>
      <c r="I64" s="1805"/>
      <c r="J64" s="1805"/>
      <c r="K64" s="1805"/>
      <c r="L64" s="1805"/>
      <c r="M64" s="1805"/>
      <c r="N64" s="1805"/>
      <c r="O64" s="1805"/>
      <c r="P64" s="1805"/>
      <c r="Q64" s="1805"/>
      <c r="R64" s="1805"/>
      <c r="S64" s="1805"/>
      <c r="T64" s="1805"/>
      <c r="U64" s="1805"/>
      <c r="V64" s="1805"/>
      <c r="W64" s="1805"/>
      <c r="X64" s="1805"/>
      <c r="Y64" s="1805"/>
      <c r="Z64" s="1805"/>
      <c r="AA64" s="1805"/>
      <c r="AB64" s="1821"/>
    </row>
    <row r="65" spans="1:29" ht="131.25">
      <c r="A65" s="1138">
        <v>39</v>
      </c>
      <c r="B65" s="1138">
        <v>1</v>
      </c>
      <c r="C65" s="1126" t="s">
        <v>1108</v>
      </c>
      <c r="D65" s="1132" t="s">
        <v>384</v>
      </c>
      <c r="E65" s="1127" t="s">
        <v>1439</v>
      </c>
      <c r="F65" s="1127">
        <v>14</v>
      </c>
      <c r="G65" s="1129">
        <v>15</v>
      </c>
      <c r="H65" s="1157"/>
      <c r="I65" s="1127">
        <v>12000</v>
      </c>
      <c r="J65" s="1129">
        <f t="shared" ref="J65" si="60">(G65+H65)*I65*F65</f>
        <v>2520000</v>
      </c>
      <c r="K65" s="1149">
        <f>2.5*3932</f>
        <v>9830</v>
      </c>
      <c r="L65" s="1127">
        <f t="shared" ref="L65" si="61">K65*F65*G65</f>
        <v>2064300</v>
      </c>
      <c r="M65" s="1124">
        <f>2*3932</f>
        <v>7864</v>
      </c>
      <c r="N65" s="1124">
        <f t="shared" ref="N65" si="62">M65*H65*F65</f>
        <v>0</v>
      </c>
      <c r="O65" s="1124">
        <v>10000</v>
      </c>
      <c r="P65" s="1124">
        <f>O65*(H65+G65)*2</f>
        <v>300000</v>
      </c>
      <c r="Q65" s="1124">
        <f t="shared" ref="Q65:Q67" si="63">SUM(J65+L65+N65+P65)</f>
        <v>4884300</v>
      </c>
      <c r="R65" s="1130"/>
      <c r="S65" s="1131"/>
      <c r="T65" s="1130"/>
      <c r="U65" s="1131"/>
      <c r="V65" s="1130"/>
      <c r="W65" s="1131">
        <f t="shared" ref="W65:W67" si="64">V65*(G65+H65)*F65</f>
        <v>0</v>
      </c>
      <c r="X65" s="1130"/>
      <c r="Y65" s="1131"/>
      <c r="Z65" s="1130"/>
      <c r="AA65" s="1135">
        <f t="shared" ref="AA65:AA67" si="65">S65+U65+W65+Y65+Z65</f>
        <v>0</v>
      </c>
      <c r="AB65" s="1135">
        <f t="shared" ref="AB65:AB67" si="66">AA65+Q65</f>
        <v>4884300</v>
      </c>
    </row>
    <row r="66" spans="1:29" ht="56.25">
      <c r="A66" s="1138">
        <v>40</v>
      </c>
      <c r="B66" s="1138">
        <v>2</v>
      </c>
      <c r="C66" s="1156" t="s">
        <v>1343</v>
      </c>
      <c r="D66" s="1132" t="s">
        <v>1344</v>
      </c>
      <c r="E66" s="1127" t="s">
        <v>1345</v>
      </c>
      <c r="F66" s="1127">
        <v>6</v>
      </c>
      <c r="G66" s="1129">
        <v>15</v>
      </c>
      <c r="H66" s="1159"/>
      <c r="I66" s="1127"/>
      <c r="J66" s="1129"/>
      <c r="K66" s="1127"/>
      <c r="L66" s="1127"/>
      <c r="M66" s="1124"/>
      <c r="N66" s="1124"/>
      <c r="O66" s="1124"/>
      <c r="P66" s="1124"/>
      <c r="Q66" s="1124">
        <f t="shared" si="63"/>
        <v>0</v>
      </c>
      <c r="R66" s="1130">
        <f>80*$AB$4</f>
        <v>36037.600000000006</v>
      </c>
      <c r="S66" s="1131">
        <f>R66*F66*(G66+H66)</f>
        <v>3243384.0000000005</v>
      </c>
      <c r="T66" s="1130">
        <v>28000</v>
      </c>
      <c r="U66" s="1131">
        <f>T66*F66*(G66+H66)</f>
        <v>2520000</v>
      </c>
      <c r="V66" s="1132">
        <v>657</v>
      </c>
      <c r="W66" s="1131">
        <f t="shared" si="64"/>
        <v>59130</v>
      </c>
      <c r="X66" s="1132">
        <v>366914</v>
      </c>
      <c r="Y66" s="1131">
        <f>X66*(G66+H66)</f>
        <v>5503710</v>
      </c>
      <c r="Z66" s="1132"/>
      <c r="AA66" s="1135">
        <f t="shared" si="65"/>
        <v>11326224</v>
      </c>
      <c r="AB66" s="1135">
        <f t="shared" si="66"/>
        <v>11326224</v>
      </c>
    </row>
    <row r="67" spans="1:29" ht="37.5">
      <c r="A67" s="1138">
        <v>41</v>
      </c>
      <c r="B67" s="1138">
        <v>3</v>
      </c>
      <c r="C67" s="1126" t="s">
        <v>1346</v>
      </c>
      <c r="D67" s="1132" t="s">
        <v>1146</v>
      </c>
      <c r="E67" s="1127" t="s">
        <v>1347</v>
      </c>
      <c r="F67" s="1159">
        <v>10</v>
      </c>
      <c r="G67" s="1129">
        <v>15</v>
      </c>
      <c r="H67" s="1157"/>
      <c r="I67" s="1131"/>
      <c r="J67" s="1137"/>
      <c r="K67" s="1131"/>
      <c r="L67" s="1131"/>
      <c r="M67" s="1138"/>
      <c r="N67" s="1138"/>
      <c r="O67" s="1138"/>
      <c r="P67" s="1124"/>
      <c r="Q67" s="1138">
        <f t="shared" si="63"/>
        <v>0</v>
      </c>
      <c r="R67" s="1130">
        <f>80*$AB$4</f>
        <v>36037.600000000006</v>
      </c>
      <c r="S67" s="1131">
        <f>R67*F67*(G67+H67)</f>
        <v>5405640.0000000009</v>
      </c>
      <c r="T67" s="1130">
        <v>28000</v>
      </c>
      <c r="U67" s="1131">
        <f>T67*F67*(G67+H67)</f>
        <v>4200000</v>
      </c>
      <c r="V67" s="1132">
        <v>1029</v>
      </c>
      <c r="W67" s="1131">
        <f t="shared" si="64"/>
        <v>154350</v>
      </c>
      <c r="X67" s="1132">
        <v>580754</v>
      </c>
      <c r="Y67" s="1131">
        <f>X67*(G67+H67)</f>
        <v>8711310</v>
      </c>
      <c r="Z67" s="1132"/>
      <c r="AA67" s="1135">
        <f t="shared" si="65"/>
        <v>18471300</v>
      </c>
      <c r="AB67" s="1135">
        <f t="shared" si="66"/>
        <v>18471300</v>
      </c>
    </row>
    <row r="68" spans="1:29">
      <c r="A68" s="1807" t="s">
        <v>38</v>
      </c>
      <c r="B68" s="1807"/>
      <c r="C68" s="1807"/>
      <c r="D68" s="1807"/>
      <c r="E68" s="1807"/>
      <c r="F68" s="1807"/>
      <c r="G68" s="1807"/>
      <c r="H68" s="1807"/>
      <c r="I68" s="1145"/>
      <c r="J68" s="1145">
        <f>SUM(J65:J67)</f>
        <v>2520000</v>
      </c>
      <c r="K68" s="1145"/>
      <c r="L68" s="1145">
        <f>SUM(L65:L67)</f>
        <v>2064300</v>
      </c>
      <c r="M68" s="1145"/>
      <c r="N68" s="1145">
        <f>SUM(N65:N67)</f>
        <v>0</v>
      </c>
      <c r="O68" s="1213"/>
      <c r="P68" s="1145">
        <f>SUM(P65:P67)</f>
        <v>300000</v>
      </c>
      <c r="Q68" s="1145">
        <f>SUM(Q65:Q67)</f>
        <v>4884300</v>
      </c>
      <c r="R68" s="1228"/>
      <c r="S68" s="1145">
        <f>SUM(S65:S67)</f>
        <v>8649024.0000000019</v>
      </c>
      <c r="T68" s="1228"/>
      <c r="U68" s="1145">
        <f>SUM(U65:U67)</f>
        <v>6720000</v>
      </c>
      <c r="V68" s="1228"/>
      <c r="W68" s="1145">
        <f>SUM(W65:W67)</f>
        <v>213480</v>
      </c>
      <c r="X68" s="1228"/>
      <c r="Y68" s="1145">
        <f>SUM(Y65:Y67)</f>
        <v>14215020</v>
      </c>
      <c r="Z68" s="1145">
        <f>SUM(Z65:Z67)</f>
        <v>0</v>
      </c>
      <c r="AA68" s="1145">
        <f>SUM(AA65:AA67)</f>
        <v>29797524</v>
      </c>
      <c r="AB68" s="1145">
        <f>SUM(AB65:AB67)</f>
        <v>34681824</v>
      </c>
      <c r="AC68" s="1120">
        <f>AB68-AA68-Q68</f>
        <v>0</v>
      </c>
    </row>
    <row r="69" spans="1:29">
      <c r="A69" s="1819" t="s">
        <v>1348</v>
      </c>
      <c r="B69" s="1820"/>
      <c r="C69" s="1820"/>
      <c r="D69" s="1820"/>
      <c r="E69" s="1820"/>
      <c r="F69" s="1820"/>
      <c r="G69" s="1820"/>
      <c r="H69" s="1820"/>
      <c r="I69" s="1805"/>
      <c r="J69" s="1805"/>
      <c r="K69" s="1805"/>
      <c r="L69" s="1805"/>
      <c r="M69" s="1805"/>
      <c r="N69" s="1805"/>
      <c r="O69" s="1805"/>
      <c r="P69" s="1805"/>
      <c r="Q69" s="1805"/>
      <c r="R69" s="1805"/>
      <c r="S69" s="1805"/>
      <c r="T69" s="1805"/>
      <c r="U69" s="1805"/>
      <c r="V69" s="1805"/>
      <c r="W69" s="1805"/>
      <c r="X69" s="1805"/>
      <c r="Y69" s="1805"/>
      <c r="Z69" s="1805"/>
      <c r="AA69" s="1805"/>
      <c r="AB69" s="1821"/>
    </row>
    <row r="70" spans="1:29" ht="131.25">
      <c r="A70" s="1124">
        <v>42</v>
      </c>
      <c r="B70" s="1138">
        <v>1</v>
      </c>
      <c r="C70" s="1126" t="s">
        <v>1108</v>
      </c>
      <c r="D70" s="1132" t="s">
        <v>1349</v>
      </c>
      <c r="E70" s="1127" t="s">
        <v>1439</v>
      </c>
      <c r="F70" s="1159">
        <v>18</v>
      </c>
      <c r="G70" s="1129">
        <v>15</v>
      </c>
      <c r="H70" s="1159"/>
      <c r="I70" s="1127">
        <v>12000</v>
      </c>
      <c r="J70" s="1129">
        <f t="shared" ref="J70:J71" si="67">(G70+H70)*I70*F70</f>
        <v>3240000</v>
      </c>
      <c r="K70" s="1149">
        <f>2.5*3932</f>
        <v>9830</v>
      </c>
      <c r="L70" s="1127">
        <f t="shared" ref="L70:L71" si="68">K70*F70*G70</f>
        <v>2654100</v>
      </c>
      <c r="M70" s="1124">
        <f>2*3932</f>
        <v>7864</v>
      </c>
      <c r="N70" s="1124">
        <f t="shared" ref="N70:N71" si="69">M70*H70*F70</f>
        <v>0</v>
      </c>
      <c r="O70" s="1124">
        <v>10000</v>
      </c>
      <c r="P70" s="1124">
        <f>O70*(H70+G70)*2</f>
        <v>300000</v>
      </c>
      <c r="Q70" s="1124">
        <f t="shared" ref="Q70:Q72" si="70">SUM(J70+L70+N70+P70)</f>
        <v>6194100</v>
      </c>
      <c r="R70" s="1124"/>
      <c r="S70" s="1124"/>
      <c r="T70" s="1124"/>
      <c r="U70" s="1124"/>
      <c r="V70" s="1124"/>
      <c r="W70" s="1124">
        <f t="shared" ref="W70:W72" si="71">V70*(G70+H70)*F70</f>
        <v>0</v>
      </c>
      <c r="X70" s="1124"/>
      <c r="Y70" s="1124"/>
      <c r="Z70" s="1124"/>
      <c r="AA70" s="1149">
        <f t="shared" ref="AA70:AA72" si="72">S70+U70+W70+Y70+Z70</f>
        <v>0</v>
      </c>
      <c r="AB70" s="1149">
        <f t="shared" ref="AB70:AB72" si="73">Q70+AA70</f>
        <v>6194100</v>
      </c>
    </row>
    <row r="71" spans="1:29" ht="131.25">
      <c r="A71" s="1124">
        <v>43</v>
      </c>
      <c r="B71" s="1138">
        <v>2</v>
      </c>
      <c r="C71" s="1158" t="s">
        <v>1108</v>
      </c>
      <c r="D71" s="1132" t="s">
        <v>1341</v>
      </c>
      <c r="E71" s="1127" t="s">
        <v>1439</v>
      </c>
      <c r="F71" s="1127">
        <v>18</v>
      </c>
      <c r="G71" s="1129">
        <v>15</v>
      </c>
      <c r="H71" s="1159"/>
      <c r="I71" s="1127">
        <v>12000</v>
      </c>
      <c r="J71" s="1129">
        <f t="shared" si="67"/>
        <v>3240000</v>
      </c>
      <c r="K71" s="1149">
        <f>2.5*3932</f>
        <v>9830</v>
      </c>
      <c r="L71" s="1127">
        <f t="shared" si="68"/>
        <v>2654100</v>
      </c>
      <c r="M71" s="1124">
        <f>2*3932</f>
        <v>7864</v>
      </c>
      <c r="N71" s="1124">
        <f t="shared" si="69"/>
        <v>0</v>
      </c>
      <c r="O71" s="1124">
        <v>10000</v>
      </c>
      <c r="P71" s="1124">
        <f>O71*(H71+G71)*2</f>
        <v>300000</v>
      </c>
      <c r="Q71" s="1124">
        <f t="shared" si="70"/>
        <v>6194100</v>
      </c>
      <c r="R71" s="1130"/>
      <c r="S71" s="1131"/>
      <c r="T71" s="1132"/>
      <c r="U71" s="1131"/>
      <c r="V71" s="1132"/>
      <c r="W71" s="1131">
        <f t="shared" si="71"/>
        <v>0</v>
      </c>
      <c r="X71" s="1132"/>
      <c r="Y71" s="1131"/>
      <c r="Z71" s="1132"/>
      <c r="AA71" s="1135">
        <f t="shared" si="72"/>
        <v>0</v>
      </c>
      <c r="AB71" s="1149">
        <f t="shared" si="73"/>
        <v>6194100</v>
      </c>
    </row>
    <row r="72" spans="1:29" ht="56.25">
      <c r="A72" s="1124">
        <v>44</v>
      </c>
      <c r="B72" s="1138">
        <v>3</v>
      </c>
      <c r="C72" s="1136" t="s">
        <v>1350</v>
      </c>
      <c r="D72" s="1132" t="s">
        <v>1318</v>
      </c>
      <c r="E72" s="1127" t="s">
        <v>1351</v>
      </c>
      <c r="F72" s="1159">
        <v>6</v>
      </c>
      <c r="G72" s="1129">
        <v>15</v>
      </c>
      <c r="H72" s="1159"/>
      <c r="I72" s="1127"/>
      <c r="J72" s="1137"/>
      <c r="K72" s="1127"/>
      <c r="L72" s="1131"/>
      <c r="M72" s="1138"/>
      <c r="N72" s="1138"/>
      <c r="O72" s="1124"/>
      <c r="P72" s="1124"/>
      <c r="Q72" s="1138">
        <f t="shared" si="70"/>
        <v>0</v>
      </c>
      <c r="R72" s="1130">
        <f>80*$AB$4</f>
        <v>36037.600000000006</v>
      </c>
      <c r="S72" s="1131">
        <f>R72*F72*(G72+H72)</f>
        <v>3243384.0000000005</v>
      </c>
      <c r="T72" s="1130">
        <v>28000</v>
      </c>
      <c r="U72" s="1131">
        <f>T72*F72*(G72+H72)</f>
        <v>2520000</v>
      </c>
      <c r="V72" s="1132">
        <v>1889</v>
      </c>
      <c r="W72" s="1131">
        <f t="shared" si="71"/>
        <v>170010</v>
      </c>
      <c r="X72" s="1132">
        <v>690422</v>
      </c>
      <c r="Y72" s="1131">
        <f>X72*(G72+H72)</f>
        <v>10356330</v>
      </c>
      <c r="Z72" s="1130">
        <f>80*$AB$5*(G72+H72)</f>
        <v>586572</v>
      </c>
      <c r="AA72" s="1135">
        <f t="shared" si="72"/>
        <v>16876296</v>
      </c>
      <c r="AB72" s="1149">
        <f t="shared" si="73"/>
        <v>16876296</v>
      </c>
    </row>
    <row r="73" spans="1:29">
      <c r="A73" s="1807" t="s">
        <v>38</v>
      </c>
      <c r="B73" s="1807"/>
      <c r="C73" s="1807"/>
      <c r="D73" s="1807"/>
      <c r="E73" s="1807"/>
      <c r="F73" s="1807"/>
      <c r="G73" s="1807"/>
      <c r="H73" s="1144"/>
      <c r="I73" s="1145"/>
      <c r="J73" s="1145">
        <f>SUM(J70:J72)</f>
        <v>6480000</v>
      </c>
      <c r="K73" s="1145"/>
      <c r="L73" s="1145">
        <f>SUM(L70:L72)</f>
        <v>5308200</v>
      </c>
      <c r="M73" s="1145"/>
      <c r="N73" s="1145">
        <f>SUM(N70:N72)</f>
        <v>0</v>
      </c>
      <c r="O73" s="1213"/>
      <c r="P73" s="1145">
        <f>SUM(P70:P72)</f>
        <v>600000</v>
      </c>
      <c r="Q73" s="1145">
        <f>SUM(Q70:Q72)</f>
        <v>12388200</v>
      </c>
      <c r="R73" s="1228"/>
      <c r="S73" s="1145">
        <f>SUM(S70:S72)</f>
        <v>3243384.0000000005</v>
      </c>
      <c r="T73" s="1228"/>
      <c r="U73" s="1145">
        <f>SUM(U70:U72)</f>
        <v>2520000</v>
      </c>
      <c r="V73" s="1228"/>
      <c r="W73" s="1145">
        <f>SUM(W70:W72)</f>
        <v>170010</v>
      </c>
      <c r="X73" s="1228"/>
      <c r="Y73" s="1145">
        <f>SUM(Y70:Y72)</f>
        <v>10356330</v>
      </c>
      <c r="Z73" s="1145">
        <f>SUM(Z70:Z72)</f>
        <v>586572</v>
      </c>
      <c r="AA73" s="1145">
        <f>SUM(AA70:AA72)</f>
        <v>16876296</v>
      </c>
      <c r="AB73" s="1145">
        <f>SUM(AB70:AB72)</f>
        <v>29264496</v>
      </c>
      <c r="AC73" s="1120">
        <f>AB73-AA73-Q73</f>
        <v>0</v>
      </c>
    </row>
    <row r="74" spans="1:29">
      <c r="A74" s="1819" t="s">
        <v>1352</v>
      </c>
      <c r="B74" s="1820"/>
      <c r="C74" s="1820"/>
      <c r="D74" s="1820"/>
      <c r="E74" s="1820"/>
      <c r="F74" s="1820"/>
      <c r="G74" s="1820"/>
      <c r="H74" s="1820"/>
      <c r="I74" s="1805"/>
      <c r="J74" s="1805"/>
      <c r="K74" s="1805"/>
      <c r="L74" s="1805"/>
      <c r="M74" s="1805"/>
      <c r="N74" s="1805"/>
      <c r="O74" s="1805"/>
      <c r="P74" s="1805"/>
      <c r="Q74" s="1805"/>
      <c r="R74" s="1805"/>
      <c r="S74" s="1805"/>
      <c r="T74" s="1805"/>
      <c r="U74" s="1805"/>
      <c r="V74" s="1805"/>
      <c r="W74" s="1805"/>
      <c r="X74" s="1805"/>
      <c r="Y74" s="1805"/>
      <c r="Z74" s="1805"/>
      <c r="AA74" s="1805"/>
      <c r="AB74" s="1821"/>
    </row>
    <row r="75" spans="1:29" ht="56.25">
      <c r="A75" s="1149">
        <v>45</v>
      </c>
      <c r="B75" s="1173">
        <v>1</v>
      </c>
      <c r="C75" s="1174" t="s">
        <v>1353</v>
      </c>
      <c r="D75" s="1132" t="s">
        <v>1354</v>
      </c>
      <c r="E75" s="1132" t="s">
        <v>1355</v>
      </c>
      <c r="F75" s="1166">
        <v>5</v>
      </c>
      <c r="G75" s="1166">
        <v>10</v>
      </c>
      <c r="H75" s="1149"/>
      <c r="I75" s="1149"/>
      <c r="J75" s="1149"/>
      <c r="K75" s="1149"/>
      <c r="L75" s="1149"/>
      <c r="M75" s="1149"/>
      <c r="N75" s="1149"/>
      <c r="O75" s="1133"/>
      <c r="P75" s="1133"/>
      <c r="Q75" s="1149">
        <f t="shared" ref="Q75:Q77" si="74">SUM(J75+L75+N75+P75)</f>
        <v>0</v>
      </c>
      <c r="R75" s="1130">
        <f>80*$AB$4</f>
        <v>36037.600000000006</v>
      </c>
      <c r="S75" s="1127">
        <f>R75*F75*(G75+H75)</f>
        <v>1801880.0000000002</v>
      </c>
      <c r="T75" s="1130">
        <v>28000</v>
      </c>
      <c r="U75" s="1127">
        <f>T75*F75*(G75+H75)</f>
        <v>1400000</v>
      </c>
      <c r="V75" s="1133">
        <v>1889</v>
      </c>
      <c r="W75" s="1131">
        <f t="shared" ref="W75:W77" si="75">V75*(G75+H75)*F75</f>
        <v>94450</v>
      </c>
      <c r="X75" s="1133">
        <v>389563</v>
      </c>
      <c r="Y75" s="1131">
        <f>X75*(G75+H75)</f>
        <v>3895630</v>
      </c>
      <c r="Z75" s="1130">
        <f>80*$AB$5*(G75+H75)</f>
        <v>391048</v>
      </c>
      <c r="AA75" s="1135">
        <f t="shared" ref="AA75:AA77" si="76">S75+U75+W75+Y75+Z75</f>
        <v>7583008</v>
      </c>
      <c r="AB75" s="1149">
        <f t="shared" ref="AB75:AB77" si="77">AA75+Q75</f>
        <v>7583008</v>
      </c>
    </row>
    <row r="76" spans="1:29" ht="56.25">
      <c r="A76" s="1149">
        <v>46</v>
      </c>
      <c r="B76" s="1173">
        <v>2</v>
      </c>
      <c r="C76" s="1174" t="s">
        <v>1356</v>
      </c>
      <c r="D76" s="1132" t="s">
        <v>1357</v>
      </c>
      <c r="E76" s="1132" t="s">
        <v>1358</v>
      </c>
      <c r="F76" s="1166">
        <v>6</v>
      </c>
      <c r="G76" s="1166">
        <v>10</v>
      </c>
      <c r="H76" s="1149"/>
      <c r="I76" s="1149"/>
      <c r="J76" s="1149"/>
      <c r="K76" s="1149"/>
      <c r="L76" s="1149"/>
      <c r="M76" s="1149"/>
      <c r="N76" s="1149"/>
      <c r="O76" s="1133"/>
      <c r="P76" s="1133"/>
      <c r="Q76" s="1149">
        <f t="shared" si="74"/>
        <v>0</v>
      </c>
      <c r="R76" s="1130">
        <f>80*$AB$4</f>
        <v>36037.600000000006</v>
      </c>
      <c r="S76" s="1127">
        <f>R76*F76*(G76+H76)</f>
        <v>2162256.0000000005</v>
      </c>
      <c r="T76" s="1130">
        <v>28000</v>
      </c>
      <c r="U76" s="1127">
        <f>T76*F76*(G76+H76)</f>
        <v>1680000</v>
      </c>
      <c r="V76" s="1133">
        <v>1029</v>
      </c>
      <c r="W76" s="1133">
        <f t="shared" si="75"/>
        <v>61740</v>
      </c>
      <c r="X76" s="1133">
        <v>579472</v>
      </c>
      <c r="Y76" s="1133">
        <f>X76*(G76+H76)</f>
        <v>5794720</v>
      </c>
      <c r="Z76" s="1133"/>
      <c r="AA76" s="1135">
        <f t="shared" si="76"/>
        <v>9698716</v>
      </c>
      <c r="AB76" s="1149">
        <f t="shared" si="77"/>
        <v>9698716</v>
      </c>
    </row>
    <row r="77" spans="1:29" ht="37.5">
      <c r="A77" s="1149">
        <v>47</v>
      </c>
      <c r="B77" s="1173">
        <v>3</v>
      </c>
      <c r="C77" s="1126" t="s">
        <v>1359</v>
      </c>
      <c r="D77" s="1132" t="s">
        <v>1360</v>
      </c>
      <c r="E77" s="1132" t="s">
        <v>1361</v>
      </c>
      <c r="F77" s="1166">
        <v>14</v>
      </c>
      <c r="G77" s="1166">
        <v>10</v>
      </c>
      <c r="H77" s="1149"/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5045264.0000000009</v>
      </c>
      <c r="T77" s="1130">
        <v>28000</v>
      </c>
      <c r="U77" s="1127">
        <f>T77*F77*(G77+H77)</f>
        <v>3920000</v>
      </c>
      <c r="V77" s="1133">
        <v>1029</v>
      </c>
      <c r="W77" s="1131">
        <f t="shared" si="75"/>
        <v>144060</v>
      </c>
      <c r="X77" s="1133">
        <v>505732</v>
      </c>
      <c r="Y77" s="1131">
        <f>X77*(G77+H77)</f>
        <v>5057320</v>
      </c>
      <c r="Z77" s="1130">
        <f>40*$AB$4</f>
        <v>18018.800000000003</v>
      </c>
      <c r="AA77" s="1135">
        <f t="shared" si="76"/>
        <v>14184662.800000001</v>
      </c>
      <c r="AB77" s="1149">
        <f t="shared" si="77"/>
        <v>14184662.800000001</v>
      </c>
    </row>
    <row r="78" spans="1:29">
      <c r="A78" s="1807" t="s">
        <v>38</v>
      </c>
      <c r="B78" s="1807"/>
      <c r="C78" s="1807"/>
      <c r="D78" s="1807"/>
      <c r="E78" s="1807"/>
      <c r="F78" s="1807"/>
      <c r="G78" s="1807"/>
      <c r="H78" s="1807"/>
      <c r="I78" s="1145"/>
      <c r="J78" s="1145">
        <f>SUM(J75:J77)</f>
        <v>0</v>
      </c>
      <c r="K78" s="1145"/>
      <c r="L78" s="1145">
        <f>SUM(L75:L77)</f>
        <v>0</v>
      </c>
      <c r="M78" s="1145"/>
      <c r="N78" s="1145">
        <f>SUM(N75:N77)</f>
        <v>0</v>
      </c>
      <c r="O78" s="1213"/>
      <c r="P78" s="1145">
        <f>SUM(P75:P77)</f>
        <v>0</v>
      </c>
      <c r="Q78" s="1145">
        <f>SUM(Q75:Q77)</f>
        <v>0</v>
      </c>
      <c r="R78" s="1228"/>
      <c r="S78" s="1145">
        <f>SUM(S75:S77)</f>
        <v>9009400.0000000019</v>
      </c>
      <c r="T78" s="1228"/>
      <c r="U78" s="1145">
        <f>SUM(U75:U77)</f>
        <v>7000000</v>
      </c>
      <c r="V78" s="1228"/>
      <c r="W78" s="1145">
        <f>SUM(W75:W77)</f>
        <v>300250</v>
      </c>
      <c r="X78" s="1228"/>
      <c r="Y78" s="1145">
        <f>SUM(Y75:Y77)</f>
        <v>14747670</v>
      </c>
      <c r="Z78" s="1145">
        <f>SUM(Z75:Z77)</f>
        <v>409066.8</v>
      </c>
      <c r="AA78" s="1145">
        <f>SUM(AA75:AA77)</f>
        <v>31466386.800000001</v>
      </c>
      <c r="AB78" s="1145">
        <f>SUM(AB75:AB77)</f>
        <v>31466386.800000001</v>
      </c>
      <c r="AC78" s="1146">
        <f>AB78-AA78-Q78</f>
        <v>0</v>
      </c>
    </row>
    <row r="79" spans="1:29">
      <c r="A79" s="1809" t="s">
        <v>1362</v>
      </c>
      <c r="B79" s="1809"/>
      <c r="C79" s="1809"/>
      <c r="D79" s="1809"/>
      <c r="E79" s="1809"/>
      <c r="F79" s="1809"/>
      <c r="G79" s="1809"/>
      <c r="H79" s="1809"/>
      <c r="I79" s="1810"/>
      <c r="J79" s="1810"/>
      <c r="K79" s="1810"/>
      <c r="L79" s="1810"/>
      <c r="M79" s="1810"/>
      <c r="N79" s="1810"/>
      <c r="O79" s="1810"/>
      <c r="P79" s="1810"/>
      <c r="Q79" s="1810"/>
      <c r="R79" s="1810"/>
      <c r="S79" s="1810"/>
      <c r="T79" s="1810"/>
      <c r="U79" s="1810"/>
      <c r="V79" s="1810"/>
      <c r="W79" s="1810"/>
      <c r="X79" s="1810"/>
      <c r="Y79" s="1810"/>
      <c r="Z79" s="1810"/>
      <c r="AA79" s="1810"/>
      <c r="AB79" s="1810"/>
    </row>
    <row r="80" spans="1:29" ht="126" customHeight="1">
      <c r="A80" s="1124">
        <v>48</v>
      </c>
      <c r="B80" s="1129">
        <v>1</v>
      </c>
      <c r="C80" s="1175" t="s">
        <v>1363</v>
      </c>
      <c r="D80" s="1149" t="s">
        <v>1364</v>
      </c>
      <c r="E80" s="1149" t="s">
        <v>1365</v>
      </c>
      <c r="F80" s="1166">
        <v>14</v>
      </c>
      <c r="G80" s="1166">
        <v>10</v>
      </c>
      <c r="H80" s="1149"/>
      <c r="I80" s="1127">
        <v>12000</v>
      </c>
      <c r="J80" s="1137">
        <f t="shared" ref="J80" si="78">(G80+H80)*I80*F80</f>
        <v>1680000</v>
      </c>
      <c r="K80" s="1149">
        <f>2.5*3932</f>
        <v>9830</v>
      </c>
      <c r="L80" s="1131">
        <f t="shared" ref="L80" si="79">K80*F80*G80</f>
        <v>1376200</v>
      </c>
      <c r="M80" s="1138">
        <f>2*3932</f>
        <v>7864</v>
      </c>
      <c r="N80" s="1138">
        <f t="shared" ref="N80" si="80">M80*H80*F80</f>
        <v>0</v>
      </c>
      <c r="O80" s="1133">
        <v>10000</v>
      </c>
      <c r="P80" s="1124">
        <f>O80*(H80+G80)*2</f>
        <v>200000</v>
      </c>
      <c r="Q80" s="1138">
        <f t="shared" ref="Q80:Q82" si="81">SUM(J80+L80+N80+P80)</f>
        <v>3256200</v>
      </c>
      <c r="R80" s="1149"/>
      <c r="S80" s="1127"/>
      <c r="T80" s="1166"/>
      <c r="U80" s="1127"/>
      <c r="V80" s="1133"/>
      <c r="W80" s="1127">
        <f t="shared" ref="W80:W82" si="82">V80*(G80+H80)*F80</f>
        <v>0</v>
      </c>
      <c r="X80" s="1133"/>
      <c r="Y80" s="1127"/>
      <c r="Z80" s="1133"/>
      <c r="AA80" s="1149">
        <f t="shared" ref="AA80:AA82" si="83">S80+U80+W80+Y80+Z80</f>
        <v>0</v>
      </c>
      <c r="AB80" s="1135">
        <f t="shared" ref="AB80:AB81" si="84">AA80+Q80</f>
        <v>3256200</v>
      </c>
    </row>
    <row r="81" spans="1:29" ht="56.25">
      <c r="A81" s="1124">
        <v>49</v>
      </c>
      <c r="B81" s="1129">
        <v>2</v>
      </c>
      <c r="C81" s="1160" t="s">
        <v>1366</v>
      </c>
      <c r="D81" s="1132" t="s">
        <v>1367</v>
      </c>
      <c r="E81" s="1132" t="s">
        <v>389</v>
      </c>
      <c r="F81" s="1166">
        <v>6</v>
      </c>
      <c r="G81" s="1166">
        <v>10</v>
      </c>
      <c r="H81" s="1149"/>
      <c r="I81" s="1149"/>
      <c r="J81" s="1137"/>
      <c r="K81" s="1149"/>
      <c r="L81" s="1131"/>
      <c r="M81" s="1138"/>
      <c r="N81" s="1138"/>
      <c r="O81" s="1133"/>
      <c r="P81" s="1124"/>
      <c r="Q81" s="1138">
        <f t="shared" si="81"/>
        <v>0</v>
      </c>
      <c r="R81" s="1130">
        <f>80*$AB$4</f>
        <v>36037.600000000006</v>
      </c>
      <c r="S81" s="1131">
        <f>R81*F81*(G81+H81)</f>
        <v>2162256.0000000005</v>
      </c>
      <c r="T81" s="1130">
        <v>28000</v>
      </c>
      <c r="U81" s="1131">
        <f>T81*F81*(G81+H81)</f>
        <v>1680000</v>
      </c>
      <c r="V81" s="1133">
        <v>1889</v>
      </c>
      <c r="W81" s="1131">
        <f t="shared" si="82"/>
        <v>113340</v>
      </c>
      <c r="X81" s="1130">
        <v>685846</v>
      </c>
      <c r="Y81" s="1131">
        <f>X81*(G81+H81)</f>
        <v>6858460</v>
      </c>
      <c r="Z81" s="1130">
        <f>80*$AB$5*(G81+H81)</f>
        <v>391048</v>
      </c>
      <c r="AA81" s="1135">
        <f t="shared" si="83"/>
        <v>11205104</v>
      </c>
      <c r="AB81" s="1135">
        <f t="shared" si="84"/>
        <v>11205104</v>
      </c>
    </row>
    <row r="82" spans="1:29" ht="131.25">
      <c r="A82" s="1124">
        <v>50</v>
      </c>
      <c r="B82" s="1129">
        <v>3</v>
      </c>
      <c r="C82" s="1175" t="s">
        <v>1368</v>
      </c>
      <c r="D82" s="1132" t="s">
        <v>1369</v>
      </c>
      <c r="E82" s="1132" t="s">
        <v>1370</v>
      </c>
      <c r="F82" s="1166">
        <v>14</v>
      </c>
      <c r="G82" s="1166">
        <v>10</v>
      </c>
      <c r="H82" s="1149"/>
      <c r="I82" s="1149"/>
      <c r="J82" s="1149"/>
      <c r="K82" s="1149"/>
      <c r="L82" s="1149"/>
      <c r="M82" s="1149"/>
      <c r="N82" s="1149"/>
      <c r="O82" s="1133"/>
      <c r="P82" s="1133"/>
      <c r="Q82" s="1149">
        <f t="shared" si="81"/>
        <v>0</v>
      </c>
      <c r="R82" s="1130">
        <f>80*$AB$4</f>
        <v>36037.600000000006</v>
      </c>
      <c r="S82" s="1131">
        <f>R82*F82*(G82+H82)</f>
        <v>5045264.0000000009</v>
      </c>
      <c r="T82" s="1130">
        <v>27550</v>
      </c>
      <c r="U82" s="1131">
        <f>T82*F82*(G82+H82)</f>
        <v>3857000</v>
      </c>
      <c r="V82" s="1133">
        <v>1029</v>
      </c>
      <c r="W82" s="1131">
        <f t="shared" si="82"/>
        <v>144060</v>
      </c>
      <c r="X82" s="1133">
        <v>505732</v>
      </c>
      <c r="Y82" s="1131">
        <f>X82*(G82+H82)</f>
        <v>5057320</v>
      </c>
      <c r="Z82" s="1130">
        <f>40*$AB$4</f>
        <v>18018.800000000003</v>
      </c>
      <c r="AA82" s="1135">
        <f t="shared" si="83"/>
        <v>14121662.800000001</v>
      </c>
      <c r="AB82" s="1135">
        <f>AA82+Q82-1000</f>
        <v>14120662.800000001</v>
      </c>
    </row>
    <row r="83" spans="1:29">
      <c r="A83" s="1807" t="s">
        <v>38</v>
      </c>
      <c r="B83" s="1807"/>
      <c r="C83" s="1807"/>
      <c r="D83" s="1807"/>
      <c r="E83" s="1807"/>
      <c r="F83" s="1807"/>
      <c r="G83" s="1807"/>
      <c r="H83" s="1807"/>
      <c r="I83" s="1144"/>
      <c r="J83" s="1144">
        <f>SUM(J80:J82)</f>
        <v>1680000</v>
      </c>
      <c r="K83" s="1144"/>
      <c r="L83" s="1144">
        <f>SUM(L80:L82)</f>
        <v>1376200</v>
      </c>
      <c r="M83" s="1144"/>
      <c r="N83" s="1144">
        <f>SUM(N80:N82)</f>
        <v>0</v>
      </c>
      <c r="O83" s="1144"/>
      <c r="P83" s="1144">
        <f>SUM(P80:P82)</f>
        <v>200000</v>
      </c>
      <c r="Q83" s="1144">
        <f>SUM(Q80:Q82)</f>
        <v>3256200</v>
      </c>
      <c r="R83" s="1144"/>
      <c r="S83" s="1144">
        <f>SUM(S80:S82)</f>
        <v>7207520.0000000019</v>
      </c>
      <c r="T83" s="1144"/>
      <c r="U83" s="1144">
        <f>SUM(U80:U82)</f>
        <v>5537000</v>
      </c>
      <c r="V83" s="1144"/>
      <c r="W83" s="1144">
        <f>SUM(W80:W82)</f>
        <v>257400</v>
      </c>
      <c r="X83" s="1144"/>
      <c r="Y83" s="1144">
        <f>SUM(Y80:Y82)</f>
        <v>11915780</v>
      </c>
      <c r="Z83" s="1144">
        <f>SUM(Z80:Z82)</f>
        <v>409066.8</v>
      </c>
      <c r="AA83" s="1144">
        <f>SUM(AA80:AA82)</f>
        <v>25326766.800000001</v>
      </c>
      <c r="AB83" s="1144">
        <f>SUM(AB80:AB82)</f>
        <v>28581966.800000001</v>
      </c>
      <c r="AC83" s="1146">
        <f>AB83-AA83-Q83</f>
        <v>-1000</v>
      </c>
    </row>
    <row r="84" spans="1:29">
      <c r="A84" s="1822" t="s">
        <v>1152</v>
      </c>
      <c r="B84" s="1823"/>
      <c r="C84" s="1823"/>
      <c r="D84" s="1823"/>
      <c r="E84" s="1824"/>
      <c r="F84" s="1176"/>
      <c r="G84" s="1176"/>
      <c r="H84" s="1176"/>
      <c r="I84" s="1176"/>
      <c r="J84" s="1177">
        <f>J50+J44+J56+J63+J78+J83+J73+J68+J15+J21+J37+J29</f>
        <v>40200000</v>
      </c>
      <c r="K84" s="1177"/>
      <c r="L84" s="1177">
        <f>L50+L44+L56+L63+L78+L83+L73+L68+L15+L21+L37+L29</f>
        <v>33225400</v>
      </c>
      <c r="M84" s="1177"/>
      <c r="N84" s="1177">
        <f>N50+N44+N56+N63+N78+N83+N73+N68+N15+N21+N37+N29</f>
        <v>0</v>
      </c>
      <c r="O84" s="1177"/>
      <c r="P84" s="1177">
        <f>P50+P44+P56+P63+P78+P83+P73+P68+P15+P21+P37+P29</f>
        <v>4760000</v>
      </c>
      <c r="Q84" s="1177">
        <f>Q50+Q44+Q56+Q63+Q78+Q83+Q73+Q68+Q15+Q21+Q37+Q29</f>
        <v>78185400</v>
      </c>
      <c r="R84" s="1177"/>
      <c r="S84" s="1177">
        <f>S50+S44+S56+S63+S78+S83+S73+S68+S15+S21+S37+S29</f>
        <v>92599298.400000006</v>
      </c>
      <c r="T84" s="1177"/>
      <c r="U84" s="1177">
        <f>U50+U44+U56+U63+U78+U83+U73+U68+U15+U21+U37+U29</f>
        <v>70907829</v>
      </c>
      <c r="V84" s="1177"/>
      <c r="W84" s="1177">
        <f>W50+W44+W56+W63+W78+W83+W73+W68+W15+W21+W37+W29</f>
        <v>3367016</v>
      </c>
      <c r="X84" s="1177"/>
      <c r="Y84" s="1177">
        <f>Y50+Y44+Y56+Y63+Y78+Y83+Y73+Y68+Y15+Y21+Y37+Y29</f>
        <v>168328481</v>
      </c>
      <c r="Z84" s="1177">
        <f>Z50+Z44+Z56+Z63+Z78+Z83+Z73+Z68+Z15+Z21+Z37+Z29</f>
        <v>7302634.6500000004</v>
      </c>
      <c r="AA84" s="1177">
        <f>AA50+AA44+AA56+AA63+AA78+AA83+AA73+AA68+AA15+AA21+AA37+AA29</f>
        <v>342505259.05000001</v>
      </c>
      <c r="AB84" s="1177">
        <f>AB50+AB44+AB56+AB63+AB78+AB83+AB73+AB68+AB15+AB21+AB37+AB29</f>
        <v>420689659.05000001</v>
      </c>
    </row>
    <row r="87" spans="1:29" ht="21">
      <c r="I87" s="1369" t="s">
        <v>640</v>
      </c>
      <c r="J87" s="1368"/>
      <c r="K87" s="1368"/>
      <c r="L87" s="1371" t="s">
        <v>1517</v>
      </c>
      <c r="M87" s="1373">
        <f>L84+U84+'фин календарь 2025 тренера'!U84+'фин календарь 2025 тренера'!N84</f>
        <v>125759279.59999999</v>
      </c>
      <c r="N87" s="1368"/>
      <c r="O87" s="1368"/>
      <c r="P87" s="1368"/>
      <c r="Q87" s="1368"/>
      <c r="R87" s="1369" t="s">
        <v>1167</v>
      </c>
      <c r="AB87" s="1188"/>
    </row>
    <row r="88" spans="1:29" ht="21">
      <c r="A88" s="674"/>
      <c r="B88" s="674"/>
      <c r="C88" s="674"/>
      <c r="D88" s="1212"/>
      <c r="F88" s="917"/>
      <c r="G88" s="674"/>
      <c r="H88" s="674"/>
      <c r="I88" s="1369"/>
      <c r="J88" s="1369"/>
      <c r="K88" s="1370"/>
      <c r="L88" s="1369" t="s">
        <v>1516</v>
      </c>
      <c r="M88" s="1373">
        <f>AB84+'фин календарь 2025 тренера'!AB84-'фин календарь 2025 спортсмены'!M89-'фин календарь 2025 спортсмены'!M87</f>
        <v>225936736.42499998</v>
      </c>
      <c r="N88" s="1368"/>
      <c r="O88" s="1368"/>
      <c r="P88" s="1368"/>
      <c r="Q88" s="1368"/>
      <c r="R88" s="1369"/>
      <c r="AB88" s="1146"/>
    </row>
    <row r="89" spans="1:29" ht="21">
      <c r="A89" s="674"/>
      <c r="B89" s="674"/>
      <c r="C89" s="674"/>
      <c r="D89" s="1212"/>
      <c r="E89" s="916"/>
      <c r="F89" s="917"/>
      <c r="G89" s="674"/>
      <c r="H89" s="674"/>
      <c r="I89" s="1369"/>
      <c r="J89" s="1371"/>
      <c r="K89" s="1368"/>
      <c r="L89" s="1368" t="s">
        <v>1515</v>
      </c>
      <c r="M89" s="1373">
        <f>J84+S84+'фин календарь 2025 тренера'!J84+'фин календарь 2025 тренера'!S84</f>
        <v>162220510.80000001</v>
      </c>
      <c r="N89" s="1368"/>
      <c r="O89" s="1368"/>
      <c r="P89" s="1368"/>
      <c r="Q89" s="1368"/>
      <c r="R89" s="1369"/>
    </row>
    <row r="90" spans="1:29" ht="21">
      <c r="A90" s="674"/>
      <c r="B90" s="674"/>
      <c r="C90" s="674"/>
      <c r="D90" s="1212"/>
      <c r="E90" s="916"/>
      <c r="F90" s="917"/>
      <c r="G90" s="674"/>
      <c r="H90" s="674"/>
      <c r="I90" s="1369" t="s">
        <v>1166</v>
      </c>
      <c r="J90" s="1369"/>
      <c r="K90" s="1370"/>
      <c r="L90" s="1369"/>
      <c r="M90" s="1368"/>
      <c r="N90" s="1368"/>
      <c r="O90" s="1368"/>
      <c r="P90" s="1368"/>
      <c r="Q90" s="1368"/>
      <c r="R90" s="1369" t="s">
        <v>1168</v>
      </c>
      <c r="AB90" s="1146"/>
    </row>
    <row r="91" spans="1:29">
      <c r="E91" s="916"/>
      <c r="AB91" s="1146"/>
    </row>
    <row r="92" spans="1:29">
      <c r="E92" s="916"/>
    </row>
    <row r="93" spans="1:29">
      <c r="X93" s="1188"/>
      <c r="AB93" s="1146"/>
    </row>
    <row r="94" spans="1:29">
      <c r="AA94" s="1146"/>
    </row>
    <row r="99" spans="24:24">
      <c r="X99" s="1103"/>
    </row>
  </sheetData>
  <mergeCells count="47">
    <mergeCell ref="A84:E84"/>
    <mergeCell ref="A69:AB69"/>
    <mergeCell ref="A73:G73"/>
    <mergeCell ref="A74:AB74"/>
    <mergeCell ref="A78:H78"/>
    <mergeCell ref="A79:AB79"/>
    <mergeCell ref="A83:H83"/>
    <mergeCell ref="A68:H68"/>
    <mergeCell ref="A30:AB30"/>
    <mergeCell ref="A37:E37"/>
    <mergeCell ref="A38:AB38"/>
    <mergeCell ref="A44:H44"/>
    <mergeCell ref="A45:AB45"/>
    <mergeCell ref="A50:H50"/>
    <mergeCell ref="A51:AB51"/>
    <mergeCell ref="A56:H56"/>
    <mergeCell ref="A57:AB57"/>
    <mergeCell ref="A63:H63"/>
    <mergeCell ref="A64:AB64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79998168889431442"/>
  </sheetPr>
  <dimension ref="A1:AC92"/>
  <sheetViews>
    <sheetView view="pageBreakPreview" topLeftCell="A79" zoomScale="50" zoomScaleNormal="70" zoomScaleSheetLayoutView="50" workbookViewId="0">
      <selection activeCell="I88" sqref="I88:R91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hidden="1" customWidth="1"/>
    <col min="8" max="8" width="6.5703125" style="1120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4.710937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1371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 ht="18.75" customHeight="1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825" t="s">
        <v>278</v>
      </c>
      <c r="S7" s="1825"/>
      <c r="T7" s="1825"/>
      <c r="U7" s="1825"/>
      <c r="V7" s="1825"/>
      <c r="W7" s="1825"/>
      <c r="X7" s="1825"/>
      <c r="Y7" s="1825"/>
      <c r="Z7" s="1825"/>
      <c r="AA7" s="1825"/>
      <c r="AB7" s="1825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825" t="s">
        <v>280</v>
      </c>
      <c r="S8" s="1825"/>
      <c r="T8" s="1825" t="s">
        <v>285</v>
      </c>
      <c r="U8" s="1825"/>
      <c r="V8" s="1825" t="s">
        <v>286</v>
      </c>
      <c r="W8" s="1825"/>
      <c r="X8" s="1825" t="s">
        <v>283</v>
      </c>
      <c r="Y8" s="1825"/>
      <c r="Z8" s="1825" t="s">
        <v>287</v>
      </c>
      <c r="AA8" s="1825" t="s">
        <v>290</v>
      </c>
      <c r="AB8" s="182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27" t="s">
        <v>291</v>
      </c>
      <c r="S9" s="1227" t="s">
        <v>292</v>
      </c>
      <c r="T9" s="1227" t="s">
        <v>294</v>
      </c>
      <c r="U9" s="1227" t="s">
        <v>292</v>
      </c>
      <c r="V9" s="1227" t="s">
        <v>296</v>
      </c>
      <c r="W9" s="1227" t="s">
        <v>292</v>
      </c>
      <c r="X9" s="1227" t="s">
        <v>297</v>
      </c>
      <c r="Y9" s="1227" t="s">
        <v>4</v>
      </c>
      <c r="Z9" s="1825"/>
      <c r="AA9" s="1825"/>
      <c r="AB9" s="1825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/>
      <c r="H11" s="1125">
        <v>3</v>
      </c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1297353.6000000001</v>
      </c>
      <c r="T11" s="1132">
        <v>28000</v>
      </c>
      <c r="U11" s="1131">
        <f>T11*F11*(G11+H11)</f>
        <v>1008000</v>
      </c>
      <c r="V11" s="1133">
        <v>657</v>
      </c>
      <c r="W11" s="1131">
        <f t="shared" ref="W11:W14" si="1">V11*(G11+H11)*F11</f>
        <v>23652</v>
      </c>
      <c r="X11" s="1134">
        <v>267695</v>
      </c>
      <c r="Y11" s="1131">
        <f>X11*(G11+H11)</f>
        <v>803085</v>
      </c>
      <c r="Z11" s="1130"/>
      <c r="AA11" s="1135">
        <f>S11+U11+W11+Y11+Z11</f>
        <v>3132090.6</v>
      </c>
      <c r="AB11" s="1135">
        <f t="shared" ref="AB11:AB14" si="2">AA11+Q11</f>
        <v>3132090.6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/>
      <c r="H12" s="1125">
        <v>4</v>
      </c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576601.60000000009</v>
      </c>
      <c r="T12" s="1132">
        <v>28000</v>
      </c>
      <c r="U12" s="1131">
        <f>T12*F12*(G12+H12)</f>
        <v>448000</v>
      </c>
      <c r="V12" s="1133">
        <v>657</v>
      </c>
      <c r="W12" s="1131">
        <f t="shared" si="1"/>
        <v>10512</v>
      </c>
      <c r="X12" s="1134">
        <v>267695</v>
      </c>
      <c r="Y12" s="1131">
        <f>X12*(G12+H12)</f>
        <v>1070780</v>
      </c>
      <c r="Z12" s="1130"/>
      <c r="AA12" s="1135">
        <f t="shared" ref="AA12:AA14" si="3">S12+U12+W12+Y12+Z12</f>
        <v>2105893.6</v>
      </c>
      <c r="AB12" s="1135">
        <f t="shared" si="2"/>
        <v>2105893.6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/>
      <c r="H13" s="1139">
        <v>3</v>
      </c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1297353.6000000001</v>
      </c>
      <c r="T13" s="1132">
        <v>28000</v>
      </c>
      <c r="U13" s="1131">
        <f>T13*F13*(G13+H13)</f>
        <v>1008000</v>
      </c>
      <c r="V13" s="1132">
        <v>1889</v>
      </c>
      <c r="W13" s="1131">
        <f t="shared" si="1"/>
        <v>68004</v>
      </c>
      <c r="X13" s="1134">
        <v>389563</v>
      </c>
      <c r="Y13" s="1131">
        <f>X13*(G13+H13)</f>
        <v>1168689</v>
      </c>
      <c r="Z13" s="1130">
        <f>80*$AB$5*(G73+H73)</f>
        <v>156419.20000000001</v>
      </c>
      <c r="AA13" s="1135">
        <f t="shared" si="3"/>
        <v>3698465.8000000003</v>
      </c>
      <c r="AB13" s="1135">
        <f t="shared" si="2"/>
        <v>3698465.8000000003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/>
      <c r="H14" s="1139">
        <v>4</v>
      </c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720752.00000000012</v>
      </c>
      <c r="T14" s="1132">
        <v>28000</v>
      </c>
      <c r="U14" s="1131">
        <f>T14*F14*(G14+H14)</f>
        <v>560000</v>
      </c>
      <c r="V14" s="1132">
        <v>1889</v>
      </c>
      <c r="W14" s="1131">
        <f t="shared" si="1"/>
        <v>37780</v>
      </c>
      <c r="X14" s="1134">
        <v>389563</v>
      </c>
      <c r="Y14" s="1131">
        <f>X14*(G14+H14)</f>
        <v>1558252</v>
      </c>
      <c r="Z14" s="1130">
        <f>80*$AB$5*(G74+H74)</f>
        <v>0</v>
      </c>
      <c r="AA14" s="1135">
        <f t="shared" si="3"/>
        <v>2876784</v>
      </c>
      <c r="AB14" s="1135">
        <f t="shared" si="2"/>
        <v>2876784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28"/>
      <c r="S15" s="1145">
        <f>SUM(S11:S14)</f>
        <v>3892060.8000000003</v>
      </c>
      <c r="T15" s="1228"/>
      <c r="U15" s="1145">
        <f>SUM(U11:U14)</f>
        <v>3024000</v>
      </c>
      <c r="V15" s="1228"/>
      <c r="W15" s="1145">
        <f>SUM(W11:W14)</f>
        <v>139948</v>
      </c>
      <c r="X15" s="1228"/>
      <c r="Y15" s="1145">
        <f>SUM(Y11:Y14)</f>
        <v>4600806</v>
      </c>
      <c r="Z15" s="1145">
        <f>SUM(Z11:Z14)</f>
        <v>156419.20000000001</v>
      </c>
      <c r="AA15" s="1145">
        <f>SUM(AA11:AA14)</f>
        <v>11813234</v>
      </c>
      <c r="AB15" s="1145">
        <f>SUM(AB11:AB14)</f>
        <v>11813234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/>
      <c r="H17" s="1125">
        <v>5</v>
      </c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2522632.0000000005</v>
      </c>
      <c r="T17" s="1132">
        <v>28000</v>
      </c>
      <c r="U17" s="1131">
        <f>T17*F17*(G17+H17)</f>
        <v>1960000</v>
      </c>
      <c r="V17" s="1133">
        <v>657</v>
      </c>
      <c r="W17" s="1131">
        <f t="shared" ref="W17:W20" si="5">V17*(G17+H17)*F17</f>
        <v>45990</v>
      </c>
      <c r="X17" s="1134">
        <v>267695</v>
      </c>
      <c r="Y17" s="1131">
        <f>X17*(G17+H17)</f>
        <v>1338475</v>
      </c>
      <c r="Z17" s="1130"/>
      <c r="AA17" s="1135">
        <f t="shared" ref="AA17:AA20" si="6">S17+U17+W17+Y17+Z17</f>
        <v>5867097</v>
      </c>
      <c r="AB17" s="1148">
        <f t="shared" ref="AB17:AB20" si="7">Q17+AA17</f>
        <v>5867097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1443</v>
      </c>
      <c r="F18" s="1127">
        <v>15</v>
      </c>
      <c r="G18" s="1128"/>
      <c r="H18" s="1125">
        <v>5</v>
      </c>
      <c r="I18" s="1127">
        <v>12000</v>
      </c>
      <c r="J18" s="1129">
        <f>(G18+H18)*I18*14</f>
        <v>840000</v>
      </c>
      <c r="K18" s="1149">
        <f>2.5*4129</f>
        <v>10322.5</v>
      </c>
      <c r="L18" s="1127">
        <f t="shared" ref="L18:L19" si="8">K18*F18*G18</f>
        <v>0</v>
      </c>
      <c r="M18" s="1124">
        <f>2*4129</f>
        <v>8258</v>
      </c>
      <c r="N18" s="1124">
        <f t="shared" ref="N18:N19" si="9">M18*H18*F18</f>
        <v>619350</v>
      </c>
      <c r="O18" s="1124">
        <v>10000</v>
      </c>
      <c r="P18" s="1124">
        <f>O18*(H18+G18)*2</f>
        <v>100000</v>
      </c>
      <c r="Q18" s="1124">
        <f t="shared" si="4"/>
        <v>1559350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1559350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1443</v>
      </c>
      <c r="F19" s="1127">
        <v>15</v>
      </c>
      <c r="G19" s="1128"/>
      <c r="H19" s="1125">
        <v>5</v>
      </c>
      <c r="I19" s="1127">
        <v>12000</v>
      </c>
      <c r="J19" s="1129">
        <f>(G19+H19)*I19*14</f>
        <v>840000</v>
      </c>
      <c r="K19" s="1149">
        <f>2.5*4129</f>
        <v>10322.5</v>
      </c>
      <c r="L19" s="1127">
        <f t="shared" si="8"/>
        <v>0</v>
      </c>
      <c r="M19" s="1124">
        <f>2*4129</f>
        <v>8258</v>
      </c>
      <c r="N19" s="1124">
        <f t="shared" si="9"/>
        <v>619350</v>
      </c>
      <c r="O19" s="1124">
        <v>10000</v>
      </c>
      <c r="P19" s="1124">
        <f>O19*(H19+G19)*2</f>
        <v>100000</v>
      </c>
      <c r="Q19" s="1124">
        <f t="shared" si="4"/>
        <v>1559350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1559350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/>
      <c r="H20" s="1125">
        <v>5</v>
      </c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80*$AB$4</f>
        <v>36037.600000000006</v>
      </c>
      <c r="S20" s="1131">
        <f>R20*F20*(G20+H20)</f>
        <v>1081128.0000000002</v>
      </c>
      <c r="T20" s="1132">
        <v>28000</v>
      </c>
      <c r="U20" s="1131">
        <f>T20*F20*(G20+H20)</f>
        <v>840000</v>
      </c>
      <c r="V20" s="54">
        <v>1029</v>
      </c>
      <c r="W20" s="1131">
        <f t="shared" si="5"/>
        <v>30870</v>
      </c>
      <c r="X20" s="1130">
        <v>580237</v>
      </c>
      <c r="Y20" s="1131">
        <f>X20*(G20+H20)</f>
        <v>2901185</v>
      </c>
      <c r="Z20" s="1130">
        <f>67.5*$AB$4*(G20+H20)</f>
        <v>152033.625</v>
      </c>
      <c r="AA20" s="1135">
        <f t="shared" si="6"/>
        <v>5005216.625</v>
      </c>
      <c r="AB20" s="1148">
        <f t="shared" si="7"/>
        <v>5005216.625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1680000</v>
      </c>
      <c r="K21" s="1152"/>
      <c r="L21" s="1152">
        <f>SUM(L17:L20)</f>
        <v>0</v>
      </c>
      <c r="M21" s="1152"/>
      <c r="N21" s="1152">
        <f>SUM(N17:N20)</f>
        <v>1238700</v>
      </c>
      <c r="O21" s="1152"/>
      <c r="P21" s="1152">
        <f>SUM(P17:P20)</f>
        <v>200000</v>
      </c>
      <c r="Q21" s="1152">
        <f>SUM(Q17:Q20)</f>
        <v>3118700</v>
      </c>
      <c r="R21" s="1152"/>
      <c r="S21" s="1152">
        <f>SUM(S17:S20)</f>
        <v>3603760.0000000009</v>
      </c>
      <c r="T21" s="1152"/>
      <c r="U21" s="1152">
        <f>SUM(U17:U20)</f>
        <v>2800000</v>
      </c>
      <c r="V21" s="1152"/>
      <c r="W21" s="1152">
        <f>SUM(W17:W20)</f>
        <v>76860</v>
      </c>
      <c r="X21" s="1152"/>
      <c r="Y21" s="1152">
        <f>SUM(Y17:Y20)</f>
        <v>4239660</v>
      </c>
      <c r="Z21" s="1152">
        <f>SUM(Z17:Z20)</f>
        <v>152033.625</v>
      </c>
      <c r="AA21" s="1152">
        <f>SUM(AA17:AA20)</f>
        <v>10872313.625</v>
      </c>
      <c r="AB21" s="1152">
        <f>SUM(AB17:AB20)</f>
        <v>13991013.625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/>
      <c r="H23" s="1149">
        <v>2</v>
      </c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432451.20000000007</v>
      </c>
      <c r="T23" s="1132">
        <v>28000</v>
      </c>
      <c r="U23" s="1127">
        <f>T23*F23*(G23+H23)</f>
        <v>336000</v>
      </c>
      <c r="V23" s="1132">
        <v>1029</v>
      </c>
      <c r="W23" s="1127">
        <f t="shared" ref="W23:W28" si="11">V23*(G23+H23)*F23</f>
        <v>12348</v>
      </c>
      <c r="X23" s="1132">
        <v>384356</v>
      </c>
      <c r="Y23" s="1131">
        <f>X23*(G23+H23)</f>
        <v>768712</v>
      </c>
      <c r="Z23" s="1130"/>
      <c r="AA23" s="1135">
        <f t="shared" ref="AA23:AA28" si="12">S23+U23+W23+Y23+Z23</f>
        <v>1549511.2000000002</v>
      </c>
      <c r="AB23" s="1149">
        <f t="shared" ref="AB23:AB28" si="13">Q23+AA23</f>
        <v>1549511.2000000002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1442</v>
      </c>
      <c r="F24" s="1127">
        <v>15</v>
      </c>
      <c r="G24" s="1149"/>
      <c r="H24" s="1149">
        <v>2</v>
      </c>
      <c r="I24" s="1127">
        <v>12000</v>
      </c>
      <c r="J24" s="1129">
        <f t="shared" ref="J24" si="14">(G24+H24)*I24*F24</f>
        <v>360000</v>
      </c>
      <c r="K24" s="1149">
        <f>2.5*4129</f>
        <v>10322.5</v>
      </c>
      <c r="L24" s="1127">
        <f t="shared" ref="L24" si="15">K24*F24*G24</f>
        <v>0</v>
      </c>
      <c r="M24" s="1124">
        <f>2*4129</f>
        <v>8258</v>
      </c>
      <c r="N24" s="1124">
        <f t="shared" ref="N24" si="16">M24*H24*F24</f>
        <v>247740</v>
      </c>
      <c r="O24" s="1124">
        <v>10000</v>
      </c>
      <c r="P24" s="1124">
        <f>O24*(H24+G24)*2</f>
        <v>40000</v>
      </c>
      <c r="Q24" s="1124">
        <f t="shared" si="10"/>
        <v>647740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647740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/>
      <c r="H25" s="1149">
        <v>2</v>
      </c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432451.20000000007</v>
      </c>
      <c r="T25" s="1132">
        <v>28000</v>
      </c>
      <c r="U25" s="1127">
        <f>T25*F25*(G25+H25)</f>
        <v>336000</v>
      </c>
      <c r="V25" s="1132">
        <v>1889</v>
      </c>
      <c r="W25" s="1127">
        <f t="shared" si="11"/>
        <v>22668</v>
      </c>
      <c r="X25" s="1132">
        <v>805167</v>
      </c>
      <c r="Y25" s="1127">
        <f>X25*(G25+H25)</f>
        <v>1610334</v>
      </c>
      <c r="Z25" s="1130">
        <f>80*$AB$5*(G25+H25)</f>
        <v>78209.600000000006</v>
      </c>
      <c r="AA25" s="1149">
        <f t="shared" si="12"/>
        <v>2479662.8000000003</v>
      </c>
      <c r="AB25" s="1149">
        <f t="shared" si="13"/>
        <v>2479662.8000000003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/>
      <c r="H26" s="1149">
        <v>2</v>
      </c>
      <c r="I26" s="1127">
        <v>12000</v>
      </c>
      <c r="J26" s="1129">
        <f t="shared" ref="J26:J27" si="17">(G26+H26)*I26*F26</f>
        <v>360000</v>
      </c>
      <c r="K26" s="1149">
        <f>2.5*4129</f>
        <v>10322.5</v>
      </c>
      <c r="L26" s="1127">
        <f t="shared" ref="L26:L27" si="18">K26*F26*G26</f>
        <v>0</v>
      </c>
      <c r="M26" s="1124">
        <f>2*4129</f>
        <v>8258</v>
      </c>
      <c r="N26" s="1124">
        <f t="shared" ref="N26:N27" si="19">M26*H26*F26</f>
        <v>247740</v>
      </c>
      <c r="O26" s="1124">
        <v>10000</v>
      </c>
      <c r="P26" s="1124">
        <f>O26*(H26+G26)*2</f>
        <v>40000</v>
      </c>
      <c r="Q26" s="1124">
        <f t="shared" si="10"/>
        <v>647740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647740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1442</v>
      </c>
      <c r="F27" s="1127">
        <v>14</v>
      </c>
      <c r="G27" s="1149"/>
      <c r="H27" s="1149">
        <v>2</v>
      </c>
      <c r="I27" s="1127">
        <v>12000</v>
      </c>
      <c r="J27" s="1137">
        <f t="shared" si="17"/>
        <v>336000</v>
      </c>
      <c r="K27" s="1149">
        <f>2.5*4129</f>
        <v>10322.5</v>
      </c>
      <c r="L27" s="1131">
        <f t="shared" si="18"/>
        <v>0</v>
      </c>
      <c r="M27" s="1138">
        <f>2*4129</f>
        <v>8258</v>
      </c>
      <c r="N27" s="1138">
        <f t="shared" si="19"/>
        <v>231224</v>
      </c>
      <c r="O27" s="1124">
        <v>10000</v>
      </c>
      <c r="P27" s="1124">
        <f>O27*(H27+G27)*2</f>
        <v>40000</v>
      </c>
      <c r="Q27" s="1138">
        <f t="shared" si="10"/>
        <v>607224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607224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/>
      <c r="H28" s="1149">
        <v>2</v>
      </c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504526.40000000008</v>
      </c>
      <c r="T28" s="1132">
        <v>28000</v>
      </c>
      <c r="U28" s="1131">
        <f>T28*F28*(G28+H28)</f>
        <v>392000</v>
      </c>
      <c r="V28" s="1132">
        <v>1889</v>
      </c>
      <c r="W28" s="1131">
        <f t="shared" si="11"/>
        <v>26446</v>
      </c>
      <c r="X28" s="1130">
        <v>685846</v>
      </c>
      <c r="Y28" s="1131">
        <f>X28*(G28+H28)</f>
        <v>1371692</v>
      </c>
      <c r="Z28" s="1130">
        <f>80*$AB$5*(G28+H28)</f>
        <v>78209.600000000006</v>
      </c>
      <c r="AA28" s="1135">
        <f t="shared" si="12"/>
        <v>2372874.0000000005</v>
      </c>
      <c r="AB28" s="1149">
        <f t="shared" si="13"/>
        <v>2372874.0000000005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1056000</v>
      </c>
      <c r="K29" s="1145"/>
      <c r="L29" s="1145">
        <f>SUM(L23:L28)</f>
        <v>0</v>
      </c>
      <c r="M29" s="1145"/>
      <c r="N29" s="1145">
        <f>SUM(N23:N28)</f>
        <v>726704</v>
      </c>
      <c r="O29" s="1213"/>
      <c r="P29" s="1145">
        <f>SUM(P23:P28)</f>
        <v>120000</v>
      </c>
      <c r="Q29" s="1145">
        <f>SUM(Q23:Q28)</f>
        <v>1902704</v>
      </c>
      <c r="R29" s="1228"/>
      <c r="S29" s="1145">
        <f>SUM(S23:S28)</f>
        <v>1369428.8000000003</v>
      </c>
      <c r="T29" s="1228"/>
      <c r="U29" s="1145">
        <f>SUM(U23:U28)</f>
        <v>1064000</v>
      </c>
      <c r="V29" s="1228"/>
      <c r="W29" s="1145">
        <f>SUM(W23:W28)</f>
        <v>61462</v>
      </c>
      <c r="X29" s="1228"/>
      <c r="Y29" s="1145">
        <f>SUM(Y23:Y28)</f>
        <v>3750738</v>
      </c>
      <c r="Z29" s="1145">
        <f>SUM(Z23:Z28)</f>
        <v>156419.20000000001</v>
      </c>
      <c r="AA29" s="1145">
        <f>SUM(AA23:AA28)</f>
        <v>6402048.0000000009</v>
      </c>
      <c r="AB29" s="1145">
        <f>SUM(AB23:AB28)</f>
        <v>8304752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1442</v>
      </c>
      <c r="F31" s="1127">
        <v>15</v>
      </c>
      <c r="G31" s="1129"/>
      <c r="H31" s="1129">
        <v>2</v>
      </c>
      <c r="I31" s="1127">
        <v>12000</v>
      </c>
      <c r="J31" s="1129">
        <f t="shared" ref="J31" si="20">(G31+H31)*I31*F31</f>
        <v>360000</v>
      </c>
      <c r="K31" s="1149">
        <f>2.5*4129</f>
        <v>10322.5</v>
      </c>
      <c r="L31" s="1127">
        <f t="shared" ref="L31" si="21">K31*F31*G31</f>
        <v>0</v>
      </c>
      <c r="M31" s="1124">
        <f>2*4129</f>
        <v>8258</v>
      </c>
      <c r="N31" s="1124">
        <f t="shared" ref="N31" si="22">M31*H31*F31</f>
        <v>247740</v>
      </c>
      <c r="O31" s="1124">
        <v>10000</v>
      </c>
      <c r="P31" s="1124">
        <f>O31*(H31+G31)*2</f>
        <v>40000</v>
      </c>
      <c r="Q31" s="1124">
        <f t="shared" ref="Q31:Q36" si="23">SUM(J31+L31+N31+P31)</f>
        <v>647740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647740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/>
      <c r="H32" s="1149">
        <v>2</v>
      </c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432451.20000000007</v>
      </c>
      <c r="T32" s="1132">
        <v>28000</v>
      </c>
      <c r="U32" s="1127">
        <f>T32*F32*(G32+H32)</f>
        <v>336000</v>
      </c>
      <c r="V32" s="1132">
        <v>1029</v>
      </c>
      <c r="W32" s="1127">
        <f t="shared" si="24"/>
        <v>12348</v>
      </c>
      <c r="X32" s="1132">
        <v>384356</v>
      </c>
      <c r="Y32" s="1131">
        <f>X32*(G32+H32)</f>
        <v>768712</v>
      </c>
      <c r="Z32" s="1130"/>
      <c r="AA32" s="1135">
        <f t="shared" si="25"/>
        <v>1549511.2000000002</v>
      </c>
      <c r="AB32" s="1149">
        <f t="shared" si="26"/>
        <v>1549511.2000000002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/>
      <c r="H33" s="1149">
        <v>2</v>
      </c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432451.20000000007</v>
      </c>
      <c r="T33" s="1132">
        <v>28000</v>
      </c>
      <c r="U33" s="1127">
        <f>T33*F33*(G33+H33)</f>
        <v>336000</v>
      </c>
      <c r="V33" s="1132">
        <v>1889</v>
      </c>
      <c r="W33" s="1127">
        <f t="shared" si="24"/>
        <v>22668</v>
      </c>
      <c r="X33" s="1132">
        <v>805167</v>
      </c>
      <c r="Y33" s="1127">
        <f>X33*(G33+H33)</f>
        <v>1610334</v>
      </c>
      <c r="Z33" s="1130">
        <f>80*$AB$5*(G33+H33)</f>
        <v>78209.600000000006</v>
      </c>
      <c r="AA33" s="1149">
        <f t="shared" si="25"/>
        <v>2479662.8000000003</v>
      </c>
      <c r="AB33" s="1149">
        <f t="shared" si="26"/>
        <v>2479662.8000000003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/>
      <c r="H34" s="1129">
        <v>2</v>
      </c>
      <c r="I34" s="1127">
        <v>12000</v>
      </c>
      <c r="J34" s="1129">
        <f t="shared" ref="J34:J35" si="27">(G34+H34)*I34*F34</f>
        <v>360000</v>
      </c>
      <c r="K34" s="1149">
        <f>2.5*4129</f>
        <v>10322.5</v>
      </c>
      <c r="L34" s="1127">
        <f t="shared" ref="L34:L35" si="28">K34*F34*G34</f>
        <v>0</v>
      </c>
      <c r="M34" s="1124">
        <f>2*4129</f>
        <v>8258</v>
      </c>
      <c r="N34" s="1124">
        <f t="shared" ref="N34:N35" si="29">M34*H34*F34</f>
        <v>247740</v>
      </c>
      <c r="O34" s="1124">
        <v>10000</v>
      </c>
      <c r="P34" s="1124">
        <f>O34*(H34+G34)*2</f>
        <v>40000</v>
      </c>
      <c r="Q34" s="1124">
        <f t="shared" si="23"/>
        <v>647740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647740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1442</v>
      </c>
      <c r="F35" s="1127">
        <v>14</v>
      </c>
      <c r="G35" s="1129"/>
      <c r="H35" s="1129">
        <v>2</v>
      </c>
      <c r="I35" s="1127">
        <v>12000</v>
      </c>
      <c r="J35" s="1129">
        <f t="shared" si="27"/>
        <v>336000</v>
      </c>
      <c r="K35" s="1149">
        <f>2.5*4129</f>
        <v>10322.5</v>
      </c>
      <c r="L35" s="1127">
        <f t="shared" si="28"/>
        <v>0</v>
      </c>
      <c r="M35" s="1124">
        <f>2*4129</f>
        <v>8258</v>
      </c>
      <c r="N35" s="1124">
        <f t="shared" si="29"/>
        <v>231224</v>
      </c>
      <c r="O35" s="1124">
        <v>10000</v>
      </c>
      <c r="P35" s="1124">
        <f>O35*(H35+G35)*2</f>
        <v>40000</v>
      </c>
      <c r="Q35" s="1124">
        <f t="shared" si="23"/>
        <v>607224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607224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/>
      <c r="H36" s="1129">
        <v>2</v>
      </c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504526.40000000008</v>
      </c>
      <c r="T36" s="1132">
        <v>28000</v>
      </c>
      <c r="U36" s="1131">
        <f>T36*F36*(G36+H36)</f>
        <v>392000</v>
      </c>
      <c r="V36" s="1132">
        <v>1889</v>
      </c>
      <c r="W36" s="1131">
        <f t="shared" si="24"/>
        <v>26446</v>
      </c>
      <c r="X36" s="1130">
        <v>685846</v>
      </c>
      <c r="Y36" s="1131">
        <f>X36*(G36+H36)</f>
        <v>1371692</v>
      </c>
      <c r="Z36" s="1130">
        <f>80*$AB$5*(G36+H36)</f>
        <v>78209.600000000006</v>
      </c>
      <c r="AA36" s="1135">
        <f t="shared" si="25"/>
        <v>2372874.0000000005</v>
      </c>
      <c r="AB36" s="1149">
        <f t="shared" si="26"/>
        <v>2372874.0000000005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1056000</v>
      </c>
      <c r="K37" s="1152"/>
      <c r="L37" s="1152">
        <f>SUM(L31:L36)</f>
        <v>0</v>
      </c>
      <c r="M37" s="1152"/>
      <c r="N37" s="1152">
        <f>SUM(N31:N36)</f>
        <v>726704</v>
      </c>
      <c r="O37" s="1152"/>
      <c r="P37" s="1152">
        <f>SUM(P31:P36)</f>
        <v>120000</v>
      </c>
      <c r="Q37" s="1152">
        <f>SUM(Q31:Q36)</f>
        <v>1902704</v>
      </c>
      <c r="R37" s="1152"/>
      <c r="S37" s="1152">
        <f>SUM(S31:S36)</f>
        <v>1369428.8000000003</v>
      </c>
      <c r="T37" s="1152"/>
      <c r="U37" s="1152">
        <f>SUM(U31:U36)</f>
        <v>1064000</v>
      </c>
      <c r="V37" s="1152"/>
      <c r="W37" s="1152">
        <f>SUM(W31:W36)</f>
        <v>61462</v>
      </c>
      <c r="X37" s="1152"/>
      <c r="Y37" s="1152">
        <f>SUM(Y31:Y36)</f>
        <v>3750738</v>
      </c>
      <c r="Z37" s="1152">
        <f>SUM(Z31:Z36)</f>
        <v>156419.20000000001</v>
      </c>
      <c r="AA37" s="1152">
        <f>SUM(AA31:AA36)</f>
        <v>6402048.0000000009</v>
      </c>
      <c r="AB37" s="1152">
        <f>SUM(AB31:AB36)</f>
        <v>8304752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/>
      <c r="H39" s="1157">
        <v>2</v>
      </c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432451.20000000007</v>
      </c>
      <c r="T39" s="1132">
        <v>28000</v>
      </c>
      <c r="U39" s="1131">
        <f>T39*F39*(G39+H39)</f>
        <v>336000</v>
      </c>
      <c r="V39" s="1130">
        <v>657</v>
      </c>
      <c r="W39" s="1131">
        <f t="shared" ref="W39:W43" si="31">V39*(G39+H39)*F39</f>
        <v>7884</v>
      </c>
      <c r="X39" s="1132">
        <v>366914</v>
      </c>
      <c r="Y39" s="1131">
        <f>X39*(G39+H39)</f>
        <v>733828</v>
      </c>
      <c r="Z39" s="1130"/>
      <c r="AA39" s="1135">
        <f t="shared" ref="AA39:AA43" si="32">S39+U39+W39+Y39+Z39</f>
        <v>1510163.2000000002</v>
      </c>
      <c r="AB39" s="1135">
        <f>AA39+Q39</f>
        <v>1510163.2000000002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/>
      <c r="H40" s="1157">
        <v>2</v>
      </c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432451.20000000007</v>
      </c>
      <c r="T40" s="1132">
        <v>28000</v>
      </c>
      <c r="U40" s="1131">
        <f>T40*F40*(G40+H40)</f>
        <v>336000</v>
      </c>
      <c r="V40" s="1130">
        <v>1889</v>
      </c>
      <c r="W40" s="1131">
        <f t="shared" si="31"/>
        <v>22668</v>
      </c>
      <c r="X40" s="1130">
        <v>685846</v>
      </c>
      <c r="Y40" s="1131">
        <f>X40*(G40+H40)</f>
        <v>1371692</v>
      </c>
      <c r="Z40" s="1130">
        <f>80*$AB$5*(G40+H40)</f>
        <v>78209.600000000006</v>
      </c>
      <c r="AA40" s="1135">
        <f t="shared" si="32"/>
        <v>2241020.8000000003</v>
      </c>
      <c r="AB40" s="1135">
        <f t="shared" ref="AB40:AB43" si="33">AA40+Q40</f>
        <v>2241020.8000000003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/>
      <c r="H41" s="1157">
        <v>2</v>
      </c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720752.00000000012</v>
      </c>
      <c r="T41" s="1132">
        <v>28000</v>
      </c>
      <c r="U41" s="1138">
        <f>T41*F41*(G41+H41)</f>
        <v>560000</v>
      </c>
      <c r="V41" s="1138">
        <v>657</v>
      </c>
      <c r="W41" s="1138">
        <f t="shared" si="31"/>
        <v>13140</v>
      </c>
      <c r="X41" s="1130">
        <v>305578</v>
      </c>
      <c r="Y41" s="1138">
        <f>X41*(G41+H41)</f>
        <v>611156</v>
      </c>
      <c r="Z41" s="1138"/>
      <c r="AA41" s="1135">
        <f t="shared" si="32"/>
        <v>1905048</v>
      </c>
      <c r="AB41" s="1135">
        <f t="shared" si="33"/>
        <v>1905048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/>
      <c r="H42" s="1157">
        <v>2</v>
      </c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432451.20000000007</v>
      </c>
      <c r="T42" s="1132">
        <v>28000</v>
      </c>
      <c r="U42" s="1131">
        <f>T42*F42*(G42+H42)</f>
        <v>336000</v>
      </c>
      <c r="V42" s="1130">
        <v>1889</v>
      </c>
      <c r="W42" s="1131">
        <f t="shared" si="31"/>
        <v>22668</v>
      </c>
      <c r="X42" s="1130">
        <v>475984</v>
      </c>
      <c r="Y42" s="1131">
        <f>X42*(G42+H42)</f>
        <v>951968</v>
      </c>
      <c r="Z42" s="1130">
        <f>80*$AB$5*(G42+H42)</f>
        <v>78209.600000000006</v>
      </c>
      <c r="AA42" s="1135">
        <f t="shared" si="32"/>
        <v>1821296.8000000003</v>
      </c>
      <c r="AB42" s="1135">
        <f t="shared" si="33"/>
        <v>1821296.8000000003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/>
      <c r="H43" s="1157">
        <v>2</v>
      </c>
      <c r="I43" s="1127">
        <v>12000</v>
      </c>
      <c r="J43" s="1137">
        <f t="shared" ref="J43" si="34">(G43+H43)*I43*F43</f>
        <v>336000</v>
      </c>
      <c r="K43" s="1149">
        <f>2.5*4129</f>
        <v>10322.5</v>
      </c>
      <c r="L43" s="1131">
        <f t="shared" ref="L43" si="35">K43*F43*G43</f>
        <v>0</v>
      </c>
      <c r="M43" s="1138">
        <f>2*4129</f>
        <v>8258</v>
      </c>
      <c r="N43" s="1138">
        <f t="shared" ref="N43" si="36">M43*H43*F43</f>
        <v>231224</v>
      </c>
      <c r="O43" s="1138">
        <v>10000</v>
      </c>
      <c r="P43" s="1124">
        <f>O43*(H43+G43)*2</f>
        <v>40000</v>
      </c>
      <c r="Q43" s="1124">
        <f t="shared" si="30"/>
        <v>607224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607224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336000</v>
      </c>
      <c r="K44" s="1145"/>
      <c r="L44" s="1145">
        <f>SUM(L39:L43)</f>
        <v>0</v>
      </c>
      <c r="M44" s="1145"/>
      <c r="N44" s="1145">
        <f>SUM(N39:N43)</f>
        <v>231224</v>
      </c>
      <c r="O44" s="1213"/>
      <c r="P44" s="1145">
        <f>SUM(P39:P43)</f>
        <v>40000</v>
      </c>
      <c r="Q44" s="1145">
        <f>SUM(Q39:Q43)</f>
        <v>607224</v>
      </c>
      <c r="R44" s="1228"/>
      <c r="S44" s="1145">
        <f>SUM(S39:S43)</f>
        <v>2018105.6000000006</v>
      </c>
      <c r="T44" s="1228"/>
      <c r="U44" s="1145">
        <f>SUM(U39:U43)</f>
        <v>1568000</v>
      </c>
      <c r="V44" s="1228"/>
      <c r="W44" s="1145">
        <f>SUM(W39:W43)</f>
        <v>66360</v>
      </c>
      <c r="X44" s="1228"/>
      <c r="Y44" s="1145">
        <f>SUM(Y39:Y43)</f>
        <v>3668644</v>
      </c>
      <c r="Z44" s="1145">
        <f>SUM(Z39:Z43)</f>
        <v>156419.20000000001</v>
      </c>
      <c r="AA44" s="1145">
        <f>SUM(AA39:AA43)</f>
        <v>7477528.8000000007</v>
      </c>
      <c r="AB44" s="1145">
        <f>SUM(AB39:AB43)</f>
        <v>8084752.8000000007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/>
      <c r="H46" s="1159">
        <v>3</v>
      </c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648676.80000000005</v>
      </c>
      <c r="T46" s="1132">
        <v>28000</v>
      </c>
      <c r="U46" s="1131">
        <f>T46*F46*(G46+H46)</f>
        <v>504000</v>
      </c>
      <c r="V46" s="1130">
        <v>1889</v>
      </c>
      <c r="W46" s="1131">
        <f t="shared" ref="W46:W49" si="37">V46*(G46+H46)*F46</f>
        <v>34002</v>
      </c>
      <c r="X46" s="1130">
        <v>475984</v>
      </c>
      <c r="Y46" s="1131">
        <f>X46*(G46+H46)</f>
        <v>1427952</v>
      </c>
      <c r="Z46" s="1130">
        <f>80*$AB$5*(G46+H46)</f>
        <v>117314.40000000001</v>
      </c>
      <c r="AA46" s="1135">
        <f t="shared" ref="AA46:AA49" si="38">S46+U46+W46+Y46+Z46</f>
        <v>2731945.1999999997</v>
      </c>
      <c r="AB46" s="1135">
        <f>AA46+Q46</f>
        <v>2731945.1999999997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/>
      <c r="H47" s="1159">
        <v>3</v>
      </c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648676.80000000005</v>
      </c>
      <c r="T47" s="1132">
        <v>28000</v>
      </c>
      <c r="U47" s="1131">
        <f>T47*F47*(G47+H47)</f>
        <v>504000</v>
      </c>
      <c r="V47" s="1130">
        <v>1889</v>
      </c>
      <c r="W47" s="1131">
        <f t="shared" si="37"/>
        <v>34002</v>
      </c>
      <c r="X47" s="1130">
        <v>685846</v>
      </c>
      <c r="Y47" s="1131">
        <f>X47*(G47+H47)</f>
        <v>2057538</v>
      </c>
      <c r="Z47" s="1130">
        <f>80*$AB$5*(G47+H47)</f>
        <v>117314.40000000001</v>
      </c>
      <c r="AA47" s="1135">
        <f t="shared" si="38"/>
        <v>3361531.1999999997</v>
      </c>
      <c r="AB47" s="1135">
        <f>AA47+Q47</f>
        <v>3361531.1999999997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/>
      <c r="H48" s="1159">
        <v>3</v>
      </c>
      <c r="I48" s="1127">
        <v>12000</v>
      </c>
      <c r="J48" s="1137">
        <f>(G48+H48)*I48*F48</f>
        <v>504000</v>
      </c>
      <c r="K48" s="1149">
        <f>2.5*4129</f>
        <v>10322.5</v>
      </c>
      <c r="L48" s="1131">
        <f>K48*F48*G48</f>
        <v>0</v>
      </c>
      <c r="M48" s="1138">
        <f>2*4129</f>
        <v>8258</v>
      </c>
      <c r="N48" s="1138">
        <f>M48*H48*F48</f>
        <v>346836</v>
      </c>
      <c r="O48" s="1138">
        <v>10000</v>
      </c>
      <c r="P48" s="1124">
        <f>O48*(H48+G48)*2</f>
        <v>60000</v>
      </c>
      <c r="Q48" s="1124">
        <f t="shared" si="39"/>
        <v>910836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910836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/>
      <c r="H49" s="1159">
        <v>4</v>
      </c>
      <c r="I49" s="1127">
        <v>12000</v>
      </c>
      <c r="J49" s="1137">
        <f>(G49+H49)*I49*F49</f>
        <v>672000</v>
      </c>
      <c r="K49" s="1149">
        <f>2.5*4129</f>
        <v>10322.5</v>
      </c>
      <c r="L49" s="1131">
        <f>K49*F49*G49</f>
        <v>0</v>
      </c>
      <c r="M49" s="1138">
        <f>2*4129</f>
        <v>8258</v>
      </c>
      <c r="N49" s="1138">
        <f>M49*H49*F49</f>
        <v>462448</v>
      </c>
      <c r="O49" s="1138">
        <v>10000</v>
      </c>
      <c r="P49" s="1124">
        <f>O49*(H49+G49)*2</f>
        <v>80000</v>
      </c>
      <c r="Q49" s="1124">
        <f t="shared" si="39"/>
        <v>1214448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1214448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1176000</v>
      </c>
      <c r="K50" s="1163"/>
      <c r="L50" s="1162">
        <f>SUM(L46:L49)</f>
        <v>0</v>
      </c>
      <c r="M50" s="1163"/>
      <c r="N50" s="1162">
        <f>SUM(N46:N49)</f>
        <v>809284</v>
      </c>
      <c r="O50" s="1163"/>
      <c r="P50" s="1162">
        <f>SUM(P46:P49)</f>
        <v>140000</v>
      </c>
      <c r="Q50" s="1162">
        <f>SUM(Q46:Q49)</f>
        <v>2125284</v>
      </c>
      <c r="R50" s="1164"/>
      <c r="S50" s="1162">
        <f>SUM(S46:S49)</f>
        <v>1297353.6000000001</v>
      </c>
      <c r="T50" s="1164"/>
      <c r="U50" s="1162">
        <f>SUM(U46:U49)</f>
        <v>1008000</v>
      </c>
      <c r="V50" s="1164"/>
      <c r="W50" s="1162">
        <f>SUM(W46:W49)</f>
        <v>68004</v>
      </c>
      <c r="X50" s="1164"/>
      <c r="Y50" s="1162">
        <f>SUM(Y46:Y49)</f>
        <v>3485490</v>
      </c>
      <c r="Z50" s="1162">
        <f>SUM(Z46:Z49)</f>
        <v>234628.80000000002</v>
      </c>
      <c r="AA50" s="1162">
        <f>SUM(AA46:AA49)</f>
        <v>6093476.3999999994</v>
      </c>
      <c r="AB50" s="1162">
        <f>SUM(AB46:AB49)</f>
        <v>8218760.3999999994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1441</v>
      </c>
      <c r="F52" s="1166">
        <v>10</v>
      </c>
      <c r="G52" s="1166"/>
      <c r="H52" s="1149">
        <v>2</v>
      </c>
      <c r="I52" s="1127">
        <v>12000</v>
      </c>
      <c r="J52" s="1137">
        <f t="shared" ref="J52" si="40">(G52+H52)*I52*F52</f>
        <v>240000</v>
      </c>
      <c r="K52" s="1149">
        <f>2.5*4129</f>
        <v>10322.5</v>
      </c>
      <c r="L52" s="1131">
        <f t="shared" ref="L52" si="41">K52*F52*G52</f>
        <v>0</v>
      </c>
      <c r="M52" s="1138">
        <f>2*4129</f>
        <v>8258</v>
      </c>
      <c r="N52" s="1138">
        <f t="shared" ref="N52" si="42">M52*H52*F52</f>
        <v>165160</v>
      </c>
      <c r="O52" s="1133">
        <v>10000</v>
      </c>
      <c r="P52" s="1124">
        <f>O52*(H52+G52)*2</f>
        <v>40000</v>
      </c>
      <c r="Q52" s="1138">
        <f t="shared" ref="Q52:Q56" si="43">SUM(J52+L52+N52+P52)</f>
        <v>445160</v>
      </c>
      <c r="R52" s="1166"/>
      <c r="S52" s="1149"/>
      <c r="T52" s="1166"/>
      <c r="U52" s="1149"/>
      <c r="V52" s="1133"/>
      <c r="W52" s="1133">
        <f t="shared" ref="W52:W56" si="44">V52*(G52+H52)*F52</f>
        <v>0</v>
      </c>
      <c r="X52" s="1133"/>
      <c r="Y52" s="1133"/>
      <c r="Z52" s="1133"/>
      <c r="AA52" s="1149">
        <f t="shared" ref="AA52:AA56" si="45">S52+U52+W52+Y52+Z52</f>
        <v>0</v>
      </c>
      <c r="AB52" s="1149">
        <f t="shared" ref="AB52:AB56" si="46">AA52+Q52</f>
        <v>445160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/>
      <c r="H53" s="1149">
        <v>2</v>
      </c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504526.40000000008</v>
      </c>
      <c r="T53" s="1132">
        <v>28000</v>
      </c>
      <c r="U53" s="1149">
        <f>T53*F53*(G53+H53)</f>
        <v>392000</v>
      </c>
      <c r="V53" s="1133">
        <v>1889</v>
      </c>
      <c r="W53" s="1133">
        <f t="shared" si="44"/>
        <v>26446</v>
      </c>
      <c r="X53" s="1133">
        <v>805167</v>
      </c>
      <c r="Y53" s="1133">
        <f>X53*(G53+H53)</f>
        <v>1610334</v>
      </c>
      <c r="Z53" s="1130">
        <f>80*$AB$5*(G53+H53)</f>
        <v>78209.600000000006</v>
      </c>
      <c r="AA53" s="1149">
        <f t="shared" si="45"/>
        <v>2611516.0000000005</v>
      </c>
      <c r="AB53" s="1149">
        <f t="shared" si="46"/>
        <v>2611516.0000000005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1441</v>
      </c>
      <c r="F54" s="1166">
        <v>10</v>
      </c>
      <c r="G54" s="1167"/>
      <c r="H54" s="1149">
        <v>2</v>
      </c>
      <c r="I54" s="1127">
        <v>12000</v>
      </c>
      <c r="J54" s="1149">
        <f t="shared" ref="J54" si="47">(G54+H54)*I54*F54</f>
        <v>240000</v>
      </c>
      <c r="K54" s="1149">
        <f>2.5*4129</f>
        <v>10322.5</v>
      </c>
      <c r="L54" s="1149">
        <f t="shared" ref="L54" si="48">K54*F54*G54</f>
        <v>0</v>
      </c>
      <c r="M54" s="1149">
        <f>2*4129</f>
        <v>8258</v>
      </c>
      <c r="N54" s="1149">
        <f t="shared" ref="N54" si="49">M54*H54*F54</f>
        <v>165160</v>
      </c>
      <c r="O54" s="1133">
        <v>10000</v>
      </c>
      <c r="P54" s="1124">
        <f>O54*(H54+G54)*2</f>
        <v>40000</v>
      </c>
      <c r="Q54" s="1149">
        <f t="shared" si="43"/>
        <v>445160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445160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/>
      <c r="H55" s="1149">
        <v>2</v>
      </c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504526.40000000008</v>
      </c>
      <c r="T55" s="1132">
        <v>28000</v>
      </c>
      <c r="U55" s="1149">
        <f>T55*F55*(G55+H55)</f>
        <v>392000</v>
      </c>
      <c r="V55" s="1133">
        <v>1889</v>
      </c>
      <c r="W55" s="1133">
        <f t="shared" si="44"/>
        <v>26446</v>
      </c>
      <c r="X55" s="1133">
        <v>646916</v>
      </c>
      <c r="Y55" s="1133">
        <f>X55*(G55+H55)</f>
        <v>1293832</v>
      </c>
      <c r="Z55" s="1130">
        <f>80*$AB$5*(G55+H55)</f>
        <v>78209.600000000006</v>
      </c>
      <c r="AA55" s="1149">
        <f t="shared" si="45"/>
        <v>2295014.0000000005</v>
      </c>
      <c r="AB55" s="1149">
        <f t="shared" si="46"/>
        <v>2295014.0000000005</v>
      </c>
    </row>
    <row r="56" spans="1:29" ht="37.5">
      <c r="A56" s="1165">
        <v>34</v>
      </c>
      <c r="B56" s="1129">
        <v>5</v>
      </c>
      <c r="C56" s="1136" t="s">
        <v>383</v>
      </c>
      <c r="D56" s="1132" t="s">
        <v>1372</v>
      </c>
      <c r="E56" s="1132" t="s">
        <v>1373</v>
      </c>
      <c r="F56" s="1166">
        <v>7</v>
      </c>
      <c r="G56" s="1166"/>
      <c r="H56" s="1149">
        <v>2</v>
      </c>
      <c r="I56" s="1149"/>
      <c r="J56" s="1137"/>
      <c r="K56" s="1149"/>
      <c r="L56" s="1131"/>
      <c r="M56" s="1138"/>
      <c r="N56" s="1138"/>
      <c r="O56" s="1133"/>
      <c r="P56" s="1124"/>
      <c r="Q56" s="1138">
        <f t="shared" si="43"/>
        <v>0</v>
      </c>
      <c r="R56" s="1130">
        <f>80*$AB$4</f>
        <v>36037.600000000006</v>
      </c>
      <c r="S56" s="1149">
        <f>R56*F56*(G56+H56)</f>
        <v>504526.40000000008</v>
      </c>
      <c r="T56" s="1132">
        <v>28000</v>
      </c>
      <c r="U56" s="1149">
        <f>T56*F56*(G56+H56)</f>
        <v>392000</v>
      </c>
      <c r="V56" s="1133">
        <v>657</v>
      </c>
      <c r="W56" s="1133">
        <f t="shared" si="44"/>
        <v>9198</v>
      </c>
      <c r="X56" s="1133">
        <v>267695</v>
      </c>
      <c r="Y56" s="1133">
        <f>X56*(G56+H56)</f>
        <v>535390</v>
      </c>
      <c r="Z56" s="1133"/>
      <c r="AA56" s="1149">
        <f t="shared" si="45"/>
        <v>1441114.4000000001</v>
      </c>
      <c r="AB56" s="1149">
        <f t="shared" si="46"/>
        <v>1441114.4000000001</v>
      </c>
    </row>
    <row r="57" spans="1:29">
      <c r="A57" s="1807" t="s">
        <v>38</v>
      </c>
      <c r="B57" s="1807"/>
      <c r="C57" s="1807"/>
      <c r="D57" s="1807"/>
      <c r="E57" s="1807"/>
      <c r="F57" s="1807"/>
      <c r="G57" s="1807"/>
      <c r="H57" s="1807"/>
      <c r="I57" s="1168"/>
      <c r="J57" s="1169">
        <f>SUM(J52:J56)</f>
        <v>480000</v>
      </c>
      <c r="K57" s="1169"/>
      <c r="L57" s="1169">
        <f>SUM(L52:L56)</f>
        <v>0</v>
      </c>
      <c r="M57" s="1169"/>
      <c r="N57" s="1169">
        <f>SUM(N52:N56)</f>
        <v>330320</v>
      </c>
      <c r="O57" s="1170"/>
      <c r="P57" s="1169">
        <f>SUM(P52:P56)</f>
        <v>80000</v>
      </c>
      <c r="Q57" s="1169">
        <f>SUM(Q52:Q56)</f>
        <v>890320</v>
      </c>
      <c r="R57" s="1171"/>
      <c r="S57" s="1169">
        <f>SUM(S52:S56)</f>
        <v>1513579.2000000002</v>
      </c>
      <c r="T57" s="1171"/>
      <c r="U57" s="1169">
        <f>SUM(U52:U56)</f>
        <v>1176000</v>
      </c>
      <c r="V57" s="1170"/>
      <c r="W57" s="1169">
        <f>SUM(W52:W56)</f>
        <v>62090</v>
      </c>
      <c r="X57" s="1170"/>
      <c r="Y57" s="1169">
        <f>SUM(Y52:Y56)</f>
        <v>3439556</v>
      </c>
      <c r="Z57" s="1169">
        <f>SUM(Z52:Z56)</f>
        <v>156419.20000000001</v>
      </c>
      <c r="AA57" s="1169">
        <f>SUM(AA52:AA56)</f>
        <v>6347644.4000000013</v>
      </c>
      <c r="AB57" s="1169">
        <f>SUM(AB52:AB56)</f>
        <v>7237964.4000000013</v>
      </c>
      <c r="AC57" s="1120">
        <f>AB57-AA57-Q57</f>
        <v>0</v>
      </c>
    </row>
    <row r="58" spans="1:29">
      <c r="A58" s="1818" t="s">
        <v>1156</v>
      </c>
      <c r="B58" s="1818"/>
      <c r="C58" s="1818"/>
      <c r="D58" s="1818"/>
      <c r="E58" s="1818"/>
      <c r="F58" s="1818"/>
      <c r="G58" s="1818"/>
      <c r="H58" s="1818"/>
      <c r="I58" s="1818"/>
      <c r="J58" s="1818"/>
      <c r="K58" s="1818"/>
      <c r="L58" s="1818"/>
      <c r="M58" s="1818"/>
      <c r="N58" s="1818"/>
      <c r="O58" s="1818"/>
      <c r="P58" s="1818"/>
      <c r="Q58" s="1818"/>
      <c r="R58" s="1818"/>
      <c r="S58" s="1818"/>
      <c r="T58" s="1818"/>
      <c r="U58" s="1818"/>
      <c r="V58" s="1818"/>
      <c r="W58" s="1818"/>
      <c r="X58" s="1818"/>
      <c r="Y58" s="1818"/>
      <c r="Z58" s="1818"/>
      <c r="AA58" s="1818"/>
      <c r="AB58" s="1818"/>
    </row>
    <row r="59" spans="1:29" ht="140.25" customHeight="1">
      <c r="A59" s="1165">
        <v>35</v>
      </c>
      <c r="B59" s="1129">
        <v>1</v>
      </c>
      <c r="C59" s="1158" t="s">
        <v>1338</v>
      </c>
      <c r="D59" s="1132" t="s">
        <v>1339</v>
      </c>
      <c r="E59" s="1132" t="s">
        <v>1441</v>
      </c>
      <c r="F59" s="1166">
        <v>15</v>
      </c>
      <c r="G59" s="1166"/>
      <c r="H59" s="1149">
        <v>4</v>
      </c>
      <c r="I59" s="1127">
        <v>12000</v>
      </c>
      <c r="J59" s="1137">
        <f t="shared" ref="J59:J60" si="50">(G59+H59)*I59*F59</f>
        <v>720000</v>
      </c>
      <c r="K59" s="1149">
        <f>2.5*4129</f>
        <v>10322.5</v>
      </c>
      <c r="L59" s="1131">
        <f t="shared" ref="L59:L60" si="51">K59*F59*G59</f>
        <v>0</v>
      </c>
      <c r="M59" s="1138">
        <f>2*4129</f>
        <v>8258</v>
      </c>
      <c r="N59" s="1138">
        <f t="shared" ref="N59:N60" si="52">M59*H59*F59</f>
        <v>495480</v>
      </c>
      <c r="O59" s="1133">
        <v>10000</v>
      </c>
      <c r="P59" s="1124">
        <f>O59*(H59+G59)*2</f>
        <v>80000</v>
      </c>
      <c r="Q59" s="1138">
        <f t="shared" ref="Q59:Q63" si="53">SUM(J59+L59+N59+P59)</f>
        <v>1295480</v>
      </c>
      <c r="R59" s="1166"/>
      <c r="S59" s="1149"/>
      <c r="T59" s="1166"/>
      <c r="U59" s="1149"/>
      <c r="V59" s="1133"/>
      <c r="W59" s="1133">
        <f t="shared" ref="W59:W63" si="54">V59*(G59+H59)*F59</f>
        <v>0</v>
      </c>
      <c r="X59" s="1133"/>
      <c r="Y59" s="1133"/>
      <c r="Z59" s="1133"/>
      <c r="AA59" s="1149">
        <f t="shared" ref="AA59:AA63" si="55">S59+U59+W59+Y59+Z59</f>
        <v>0</v>
      </c>
      <c r="AB59" s="1149">
        <f t="shared" ref="AB59:AB63" si="56">AA59+Q59</f>
        <v>1295480</v>
      </c>
    </row>
    <row r="60" spans="1:29" ht="144.75" customHeight="1">
      <c r="A60" s="1165">
        <v>36</v>
      </c>
      <c r="B60" s="1129">
        <v>2</v>
      </c>
      <c r="C60" s="1158" t="s">
        <v>1106</v>
      </c>
      <c r="D60" s="1132" t="s">
        <v>1312</v>
      </c>
      <c r="E60" s="1132" t="s">
        <v>1441</v>
      </c>
      <c r="F60" s="1166">
        <v>10</v>
      </c>
      <c r="G60" s="1166"/>
      <c r="H60" s="1149">
        <v>4</v>
      </c>
      <c r="I60" s="1127">
        <v>12000</v>
      </c>
      <c r="J60" s="1137">
        <f t="shared" si="50"/>
        <v>480000</v>
      </c>
      <c r="K60" s="1149">
        <f>2.5*4129</f>
        <v>10322.5</v>
      </c>
      <c r="L60" s="1131">
        <f t="shared" si="51"/>
        <v>0</v>
      </c>
      <c r="M60" s="1138">
        <f>2*4129</f>
        <v>8258</v>
      </c>
      <c r="N60" s="1138">
        <f t="shared" si="52"/>
        <v>330320</v>
      </c>
      <c r="O60" s="1133">
        <v>10000</v>
      </c>
      <c r="P60" s="1124">
        <f>O60*(H60+G60)*2</f>
        <v>80000</v>
      </c>
      <c r="Q60" s="1138">
        <f t="shared" si="53"/>
        <v>890320</v>
      </c>
      <c r="R60" s="1166"/>
      <c r="S60" s="1149"/>
      <c r="T60" s="1166"/>
      <c r="U60" s="1149"/>
      <c r="V60" s="1133"/>
      <c r="W60" s="1133">
        <f t="shared" si="54"/>
        <v>0</v>
      </c>
      <c r="X60" s="1133"/>
      <c r="Y60" s="1133"/>
      <c r="Z60" s="1133"/>
      <c r="AA60" s="1149">
        <f t="shared" si="55"/>
        <v>0</v>
      </c>
      <c r="AB60" s="1149">
        <f t="shared" si="56"/>
        <v>890320</v>
      </c>
    </row>
    <row r="61" spans="1:29" ht="37.5">
      <c r="A61" s="1165">
        <v>37</v>
      </c>
      <c r="B61" s="1129">
        <v>3</v>
      </c>
      <c r="C61" s="1156" t="s">
        <v>383</v>
      </c>
      <c r="D61" s="1132" t="s">
        <v>1340</v>
      </c>
      <c r="E61" s="1132" t="s">
        <v>953</v>
      </c>
      <c r="F61" s="1166">
        <v>7</v>
      </c>
      <c r="G61" s="1166"/>
      <c r="H61" s="1172">
        <v>4</v>
      </c>
      <c r="I61" s="1149"/>
      <c r="J61" s="1149"/>
      <c r="K61" s="1149"/>
      <c r="L61" s="1149"/>
      <c r="M61" s="1149"/>
      <c r="N61" s="1149"/>
      <c r="O61" s="1133"/>
      <c r="P61" s="1133"/>
      <c r="Q61" s="1149">
        <f t="shared" si="53"/>
        <v>0</v>
      </c>
      <c r="R61" s="1130">
        <f>80*$AB$4</f>
        <v>36037.600000000006</v>
      </c>
      <c r="S61" s="1127">
        <f>R61*F61*(G61+H61)</f>
        <v>1009052.8000000002</v>
      </c>
      <c r="T61" s="1132">
        <v>28000</v>
      </c>
      <c r="U61" s="1131">
        <f>T61*F61*(G61+H61)</f>
        <v>784000</v>
      </c>
      <c r="V61" s="1133">
        <v>1889</v>
      </c>
      <c r="W61" s="1131">
        <f t="shared" si="54"/>
        <v>52892</v>
      </c>
      <c r="X61" s="1133">
        <v>442311</v>
      </c>
      <c r="Y61" s="1131">
        <f>X61*(G61+H61)</f>
        <v>1769244</v>
      </c>
      <c r="Z61" s="1130">
        <f>80*$AB$5*(G61+H61)</f>
        <v>156419.20000000001</v>
      </c>
      <c r="AA61" s="1135">
        <f t="shared" si="55"/>
        <v>3771608.0000000005</v>
      </c>
      <c r="AB61" s="1149">
        <f t="shared" si="56"/>
        <v>3771608.0000000005</v>
      </c>
    </row>
    <row r="62" spans="1:29" ht="146.25" customHeight="1">
      <c r="A62" s="1165">
        <v>38</v>
      </c>
      <c r="B62" s="1129">
        <v>4</v>
      </c>
      <c r="C62" s="1158" t="s">
        <v>1106</v>
      </c>
      <c r="D62" s="1132" t="s">
        <v>1341</v>
      </c>
      <c r="E62" s="1132" t="s">
        <v>1441</v>
      </c>
      <c r="F62" s="1166">
        <v>9</v>
      </c>
      <c r="G62" s="1166"/>
      <c r="H62" s="1149">
        <v>4</v>
      </c>
      <c r="I62" s="1127">
        <v>12000</v>
      </c>
      <c r="J62" s="1137">
        <f t="shared" ref="J62" si="57">(G62+H62)*I62*F62</f>
        <v>432000</v>
      </c>
      <c r="K62" s="1149">
        <f>2.5*4129</f>
        <v>10322.5</v>
      </c>
      <c r="L62" s="1131">
        <f t="shared" ref="L62" si="58">K62*F62*G62</f>
        <v>0</v>
      </c>
      <c r="M62" s="1138">
        <f>2*4129</f>
        <v>8258</v>
      </c>
      <c r="N62" s="1138">
        <f t="shared" ref="N62" si="59">M62*H62*F62</f>
        <v>297288</v>
      </c>
      <c r="O62" s="1133">
        <v>10000</v>
      </c>
      <c r="P62" s="1124">
        <f>O62*(H62+G62)*2</f>
        <v>80000</v>
      </c>
      <c r="Q62" s="1138">
        <f t="shared" si="53"/>
        <v>809288</v>
      </c>
      <c r="R62" s="1166"/>
      <c r="S62" s="1149"/>
      <c r="T62" s="1166"/>
      <c r="U62" s="1149"/>
      <c r="V62" s="1133"/>
      <c r="W62" s="1133">
        <f t="shared" si="54"/>
        <v>0</v>
      </c>
      <c r="X62" s="1133"/>
      <c r="Y62" s="1133"/>
      <c r="Z62" s="1133"/>
      <c r="AA62" s="1149">
        <f t="shared" si="55"/>
        <v>0</v>
      </c>
      <c r="AB62" s="1149">
        <f t="shared" si="56"/>
        <v>809288</v>
      </c>
    </row>
    <row r="63" spans="1:29" ht="37.5">
      <c r="A63" s="1165">
        <v>39</v>
      </c>
      <c r="B63" s="1129">
        <v>5</v>
      </c>
      <c r="C63" s="1156" t="s">
        <v>383</v>
      </c>
      <c r="D63" s="1132" t="s">
        <v>386</v>
      </c>
      <c r="E63" s="1132" t="s">
        <v>927</v>
      </c>
      <c r="F63" s="1166">
        <v>7</v>
      </c>
      <c r="G63" s="1166"/>
      <c r="H63" s="1149">
        <v>4</v>
      </c>
      <c r="I63" s="1149"/>
      <c r="J63" s="1137"/>
      <c r="K63" s="1149"/>
      <c r="L63" s="1131"/>
      <c r="M63" s="1138"/>
      <c r="N63" s="1138"/>
      <c r="O63" s="1133"/>
      <c r="P63" s="1124"/>
      <c r="Q63" s="1138">
        <f t="shared" si="53"/>
        <v>0</v>
      </c>
      <c r="R63" s="1130">
        <f>80*$AB$4</f>
        <v>36037.600000000006</v>
      </c>
      <c r="S63" s="1149">
        <f>R63*F63*(G63+H63)</f>
        <v>1009052.8000000002</v>
      </c>
      <c r="T63" s="1132">
        <v>28000</v>
      </c>
      <c r="U63" s="1149">
        <f>T63*F63*(G63+H63)</f>
        <v>784000</v>
      </c>
      <c r="V63" s="1133">
        <v>1889</v>
      </c>
      <c r="W63" s="1133">
        <f t="shared" si="54"/>
        <v>52892</v>
      </c>
      <c r="X63" s="1133">
        <v>646412</v>
      </c>
      <c r="Y63" s="1133">
        <f>X63*(G63+H63)</f>
        <v>2585648</v>
      </c>
      <c r="Z63" s="1130">
        <f>80*$AB$5*(G63+H63)</f>
        <v>156419.20000000001</v>
      </c>
      <c r="AA63" s="1149">
        <f t="shared" si="55"/>
        <v>4588012.0000000009</v>
      </c>
      <c r="AB63" s="1149">
        <f t="shared" si="56"/>
        <v>4588012.0000000009</v>
      </c>
    </row>
    <row r="64" spans="1:29">
      <c r="A64" s="1796"/>
      <c r="B64" s="1797"/>
      <c r="C64" s="1797"/>
      <c r="D64" s="1797"/>
      <c r="E64" s="1797"/>
      <c r="F64" s="1797"/>
      <c r="G64" s="1797"/>
      <c r="H64" s="1798"/>
      <c r="I64" s="1145"/>
      <c r="J64" s="1145">
        <f>SUM(J59:J63)</f>
        <v>1632000</v>
      </c>
      <c r="K64" s="1145"/>
      <c r="L64" s="1145">
        <f>SUM(L59:L63)</f>
        <v>0</v>
      </c>
      <c r="M64" s="1145"/>
      <c r="N64" s="1145">
        <f>SUM(N59:N63)</f>
        <v>1123088</v>
      </c>
      <c r="O64" s="1213"/>
      <c r="P64" s="1145">
        <f>SUM(P59:P63)</f>
        <v>240000</v>
      </c>
      <c r="Q64" s="1145">
        <f>SUM(Q59:Q63)</f>
        <v>2995088</v>
      </c>
      <c r="R64" s="1228"/>
      <c r="S64" s="1145">
        <f>SUM(S59:S63)</f>
        <v>2018105.6000000003</v>
      </c>
      <c r="T64" s="1228"/>
      <c r="U64" s="1145">
        <f>SUM(U59:U63)</f>
        <v>1568000</v>
      </c>
      <c r="V64" s="1228"/>
      <c r="W64" s="1145">
        <f>SUM(W59:W63)</f>
        <v>105784</v>
      </c>
      <c r="X64" s="1228"/>
      <c r="Y64" s="1145">
        <f>SUM(Y59:Y63)</f>
        <v>4354892</v>
      </c>
      <c r="Z64" s="1145">
        <f>SUM(Z59:Z63)</f>
        <v>312838.40000000002</v>
      </c>
      <c r="AA64" s="1145">
        <f>SUM(AA59:AA63)</f>
        <v>8359620.0000000019</v>
      </c>
      <c r="AB64" s="1145">
        <f>SUM(AB59:AB63)</f>
        <v>11354708</v>
      </c>
      <c r="AC64" s="1120">
        <f>AB64-AA64-Q64</f>
        <v>0</v>
      </c>
    </row>
    <row r="65" spans="1:29">
      <c r="A65" s="1819" t="s">
        <v>1342</v>
      </c>
      <c r="B65" s="1820"/>
      <c r="C65" s="1820"/>
      <c r="D65" s="1820"/>
      <c r="E65" s="1820"/>
      <c r="F65" s="1820"/>
      <c r="G65" s="1820"/>
      <c r="H65" s="1820"/>
      <c r="I65" s="1805"/>
      <c r="J65" s="1805"/>
      <c r="K65" s="1805"/>
      <c r="L65" s="1805"/>
      <c r="M65" s="1805"/>
      <c r="N65" s="1805"/>
      <c r="O65" s="1805"/>
      <c r="P65" s="1805"/>
      <c r="Q65" s="1805"/>
      <c r="R65" s="1805"/>
      <c r="S65" s="1805"/>
      <c r="T65" s="1805"/>
      <c r="U65" s="1805"/>
      <c r="V65" s="1805"/>
      <c r="W65" s="1805"/>
      <c r="X65" s="1805"/>
      <c r="Y65" s="1805"/>
      <c r="Z65" s="1805"/>
      <c r="AA65" s="1805"/>
      <c r="AB65" s="1821"/>
    </row>
    <row r="66" spans="1:29" ht="131.25">
      <c r="A66" s="1138">
        <v>40</v>
      </c>
      <c r="B66" s="1138">
        <v>1</v>
      </c>
      <c r="C66" s="1126" t="s">
        <v>1108</v>
      </c>
      <c r="D66" s="1132" t="s">
        <v>384</v>
      </c>
      <c r="E66" s="1127" t="s">
        <v>1440</v>
      </c>
      <c r="F66" s="1127">
        <v>14</v>
      </c>
      <c r="G66" s="1129"/>
      <c r="H66" s="1157">
        <v>5</v>
      </c>
      <c r="I66" s="1127">
        <v>12000</v>
      </c>
      <c r="J66" s="1129">
        <f t="shared" ref="J66" si="60">(G66+H66)*I66*F66</f>
        <v>840000</v>
      </c>
      <c r="K66" s="1149">
        <f>2.5*4129</f>
        <v>10322.5</v>
      </c>
      <c r="L66" s="1127">
        <f t="shared" ref="L66" si="61">K66*F66*G66</f>
        <v>0</v>
      </c>
      <c r="M66" s="1124">
        <f>2*4129</f>
        <v>8258</v>
      </c>
      <c r="N66" s="1124">
        <f t="shared" ref="N66" si="62">M66*H66*F66</f>
        <v>578060</v>
      </c>
      <c r="O66" s="1124">
        <v>10000</v>
      </c>
      <c r="P66" s="1124">
        <f>O66*(H66+G66)*2</f>
        <v>100000</v>
      </c>
      <c r="Q66" s="1124">
        <f t="shared" ref="Q66:Q68" si="63">SUM(J66+L66+N66+P66)</f>
        <v>1518060</v>
      </c>
      <c r="R66" s="1130"/>
      <c r="S66" s="1131"/>
      <c r="T66" s="1130"/>
      <c r="U66" s="1131"/>
      <c r="V66" s="1130"/>
      <c r="W66" s="1131">
        <f t="shared" ref="W66:W68" si="64">V66*(G66+H66)*F66</f>
        <v>0</v>
      </c>
      <c r="X66" s="1130"/>
      <c r="Y66" s="1131"/>
      <c r="Z66" s="1130"/>
      <c r="AA66" s="1135">
        <f t="shared" ref="AA66:AA68" si="65">S66+U66+W66+Y66+Z66</f>
        <v>0</v>
      </c>
      <c r="AB66" s="1135">
        <f t="shared" ref="AB66:AB68" si="66">AA66+Q66</f>
        <v>1518060</v>
      </c>
    </row>
    <row r="67" spans="1:29" ht="56.25">
      <c r="A67" s="1138">
        <v>41</v>
      </c>
      <c r="B67" s="1138">
        <v>2</v>
      </c>
      <c r="C67" s="1156" t="s">
        <v>1343</v>
      </c>
      <c r="D67" s="1132" t="s">
        <v>1344</v>
      </c>
      <c r="E67" s="1127" t="s">
        <v>1345</v>
      </c>
      <c r="F67" s="1127">
        <v>6</v>
      </c>
      <c r="G67" s="1129"/>
      <c r="H67" s="1159">
        <v>5</v>
      </c>
      <c r="I67" s="1127"/>
      <c r="J67" s="1129"/>
      <c r="K67" s="1127"/>
      <c r="L67" s="1127"/>
      <c r="M67" s="1124"/>
      <c r="N67" s="1124"/>
      <c r="O67" s="1124"/>
      <c r="P67" s="1124"/>
      <c r="Q67" s="1124">
        <f t="shared" si="63"/>
        <v>0</v>
      </c>
      <c r="R67" s="1130">
        <f>80*$AB$4</f>
        <v>36037.600000000006</v>
      </c>
      <c r="S67" s="1131">
        <f>R67*F67*(G67+H67)</f>
        <v>1081128.0000000002</v>
      </c>
      <c r="T67" s="1132">
        <v>28000</v>
      </c>
      <c r="U67" s="1131">
        <f>T67*F67*(G67+H67)</f>
        <v>840000</v>
      </c>
      <c r="V67" s="1132">
        <v>657</v>
      </c>
      <c r="W67" s="1131">
        <f t="shared" si="64"/>
        <v>19710</v>
      </c>
      <c r="X67" s="1132">
        <v>366914</v>
      </c>
      <c r="Y67" s="1131">
        <f>X67*(G67+H67)</f>
        <v>1834570</v>
      </c>
      <c r="Z67" s="1132"/>
      <c r="AA67" s="1135">
        <f t="shared" si="65"/>
        <v>3775408</v>
      </c>
      <c r="AB67" s="1135">
        <f t="shared" si="66"/>
        <v>3775408</v>
      </c>
    </row>
    <row r="68" spans="1:29" ht="37.5">
      <c r="A68" s="1138">
        <v>42</v>
      </c>
      <c r="B68" s="1138">
        <v>3</v>
      </c>
      <c r="C68" s="1126" t="s">
        <v>1346</v>
      </c>
      <c r="D68" s="1132" t="s">
        <v>1146</v>
      </c>
      <c r="E68" s="1127" t="s">
        <v>1347</v>
      </c>
      <c r="F68" s="1159">
        <v>10</v>
      </c>
      <c r="G68" s="1129"/>
      <c r="H68" s="1157">
        <v>4</v>
      </c>
      <c r="I68" s="1131"/>
      <c r="J68" s="1137"/>
      <c r="K68" s="1131"/>
      <c r="L68" s="1131"/>
      <c r="M68" s="1138"/>
      <c r="N68" s="1138"/>
      <c r="O68" s="1138"/>
      <c r="P68" s="1124"/>
      <c r="Q68" s="1138">
        <f t="shared" si="63"/>
        <v>0</v>
      </c>
      <c r="R68" s="1130">
        <f>80*$AB$4</f>
        <v>36037.600000000006</v>
      </c>
      <c r="S68" s="1131">
        <f>R68*F68*(G68+H68)</f>
        <v>1441504.0000000002</v>
      </c>
      <c r="T68" s="1132">
        <v>28000</v>
      </c>
      <c r="U68" s="1131">
        <f>T68*F68*(G68+H68)</f>
        <v>1120000</v>
      </c>
      <c r="V68" s="1132">
        <v>1029</v>
      </c>
      <c r="W68" s="1131">
        <f t="shared" si="64"/>
        <v>41160</v>
      </c>
      <c r="X68" s="1132">
        <v>580754</v>
      </c>
      <c r="Y68" s="1131">
        <f>X68*(G68+H68)</f>
        <v>2323016</v>
      </c>
      <c r="Z68" s="1132"/>
      <c r="AA68" s="1135">
        <f t="shared" si="65"/>
        <v>4925680</v>
      </c>
      <c r="AB68" s="1135">
        <f t="shared" si="66"/>
        <v>4925680</v>
      </c>
    </row>
    <row r="69" spans="1:29">
      <c r="A69" s="1807" t="s">
        <v>38</v>
      </c>
      <c r="B69" s="1807"/>
      <c r="C69" s="1807"/>
      <c r="D69" s="1807"/>
      <c r="E69" s="1807"/>
      <c r="F69" s="1807"/>
      <c r="G69" s="1807"/>
      <c r="H69" s="1807"/>
      <c r="I69" s="1145"/>
      <c r="J69" s="1145">
        <f>SUM(J66:J68)</f>
        <v>840000</v>
      </c>
      <c r="K69" s="1145"/>
      <c r="L69" s="1145">
        <f>SUM(L66:L68)</f>
        <v>0</v>
      </c>
      <c r="M69" s="1145"/>
      <c r="N69" s="1145">
        <f>SUM(N66:N68)</f>
        <v>578060</v>
      </c>
      <c r="O69" s="1213"/>
      <c r="P69" s="1145">
        <f>SUM(P66:P68)</f>
        <v>100000</v>
      </c>
      <c r="Q69" s="1145">
        <f>SUM(Q66:Q68)</f>
        <v>1518060</v>
      </c>
      <c r="R69" s="1228"/>
      <c r="S69" s="1145">
        <f>SUM(S66:S68)</f>
        <v>2522632.0000000005</v>
      </c>
      <c r="T69" s="1228"/>
      <c r="U69" s="1145">
        <f>SUM(U66:U68)</f>
        <v>1960000</v>
      </c>
      <c r="V69" s="1228"/>
      <c r="W69" s="1145">
        <f>SUM(W66:W68)</f>
        <v>60870</v>
      </c>
      <c r="X69" s="1228"/>
      <c r="Y69" s="1145">
        <f>SUM(Y66:Y68)</f>
        <v>4157586</v>
      </c>
      <c r="Z69" s="1145">
        <f>SUM(Z66:Z68)</f>
        <v>0</v>
      </c>
      <c r="AA69" s="1145">
        <f>SUM(AA66:AA68)</f>
        <v>8701088</v>
      </c>
      <c r="AB69" s="1145">
        <f>SUM(AB66:AB68)</f>
        <v>10219148</v>
      </c>
      <c r="AC69" s="1120">
        <f>AB69-AA69-Q69</f>
        <v>0</v>
      </c>
    </row>
    <row r="70" spans="1:29">
      <c r="A70" s="1819" t="s">
        <v>1348</v>
      </c>
      <c r="B70" s="1820"/>
      <c r="C70" s="1820"/>
      <c r="D70" s="1820"/>
      <c r="E70" s="1820"/>
      <c r="F70" s="1820"/>
      <c r="G70" s="1820"/>
      <c r="H70" s="1820"/>
      <c r="I70" s="1805"/>
      <c r="J70" s="1805"/>
      <c r="K70" s="1805"/>
      <c r="L70" s="1805"/>
      <c r="M70" s="1805"/>
      <c r="N70" s="1805"/>
      <c r="O70" s="1805"/>
      <c r="P70" s="1805"/>
      <c r="Q70" s="1805"/>
      <c r="R70" s="1805"/>
      <c r="S70" s="1805"/>
      <c r="T70" s="1805"/>
      <c r="U70" s="1805"/>
      <c r="V70" s="1805"/>
      <c r="W70" s="1805"/>
      <c r="X70" s="1805"/>
      <c r="Y70" s="1805"/>
      <c r="Z70" s="1805"/>
      <c r="AA70" s="1805"/>
      <c r="AB70" s="1821"/>
    </row>
    <row r="71" spans="1:29" ht="131.25">
      <c r="A71" s="1124">
        <v>43</v>
      </c>
      <c r="B71" s="1138">
        <v>1</v>
      </c>
      <c r="C71" s="1126" t="s">
        <v>1108</v>
      </c>
      <c r="D71" s="1132" t="s">
        <v>1349</v>
      </c>
      <c r="E71" s="1127" t="s">
        <v>1440</v>
      </c>
      <c r="F71" s="1159">
        <v>18</v>
      </c>
      <c r="G71" s="1129"/>
      <c r="H71" s="1159">
        <v>4</v>
      </c>
      <c r="I71" s="1127">
        <v>12000</v>
      </c>
      <c r="J71" s="1129">
        <f t="shared" ref="J71:J72" si="67">(G71+H71)*I71*F71</f>
        <v>864000</v>
      </c>
      <c r="K71" s="1149">
        <f>2.5*4129</f>
        <v>10322.5</v>
      </c>
      <c r="L71" s="1127">
        <f t="shared" ref="L71:L72" si="68">K71*F71*G71</f>
        <v>0</v>
      </c>
      <c r="M71" s="1124">
        <f>2*4129</f>
        <v>8258</v>
      </c>
      <c r="N71" s="1124">
        <f t="shared" ref="N71:N72" si="69">M71*H71*F71</f>
        <v>594576</v>
      </c>
      <c r="O71" s="1124">
        <v>10000</v>
      </c>
      <c r="P71" s="1124">
        <f>O71*(H71+G71)*2</f>
        <v>80000</v>
      </c>
      <c r="Q71" s="1124">
        <f t="shared" ref="Q71:Q73" si="70">SUM(J71+L71+N71+P71)</f>
        <v>1538576</v>
      </c>
      <c r="R71" s="1124"/>
      <c r="S71" s="1124"/>
      <c r="T71" s="1124"/>
      <c r="U71" s="1124"/>
      <c r="V71" s="1124"/>
      <c r="W71" s="1124">
        <f t="shared" ref="W71:W73" si="71">V71*(G71+H71)*F71</f>
        <v>0</v>
      </c>
      <c r="X71" s="1124"/>
      <c r="Y71" s="1124"/>
      <c r="Z71" s="1124"/>
      <c r="AA71" s="1149">
        <f t="shared" ref="AA71:AA73" si="72">S71+U71+W71+Y71+Z71</f>
        <v>0</v>
      </c>
      <c r="AB71" s="1149">
        <f t="shared" ref="AB71:AB73" si="73">Q71+AA71</f>
        <v>1538576</v>
      </c>
    </row>
    <row r="72" spans="1:29" ht="131.25">
      <c r="A72" s="1124">
        <v>44</v>
      </c>
      <c r="B72" s="1138">
        <v>2</v>
      </c>
      <c r="C72" s="1158" t="s">
        <v>1108</v>
      </c>
      <c r="D72" s="1132" t="s">
        <v>1341</v>
      </c>
      <c r="E72" s="1127" t="s">
        <v>1440</v>
      </c>
      <c r="F72" s="1127">
        <v>18</v>
      </c>
      <c r="G72" s="1129"/>
      <c r="H72" s="1159">
        <v>5</v>
      </c>
      <c r="I72" s="1127">
        <v>12000</v>
      </c>
      <c r="J72" s="1129">
        <f t="shared" si="67"/>
        <v>1080000</v>
      </c>
      <c r="K72" s="1149">
        <f>2.5*4129</f>
        <v>10322.5</v>
      </c>
      <c r="L72" s="1127">
        <f t="shared" si="68"/>
        <v>0</v>
      </c>
      <c r="M72" s="1124">
        <f>2*4129</f>
        <v>8258</v>
      </c>
      <c r="N72" s="1124">
        <f t="shared" si="69"/>
        <v>743220</v>
      </c>
      <c r="O72" s="1124">
        <v>10000</v>
      </c>
      <c r="P72" s="1124">
        <f>O72*(H72+G72)*2</f>
        <v>100000</v>
      </c>
      <c r="Q72" s="1124">
        <f t="shared" si="70"/>
        <v>1923220</v>
      </c>
      <c r="R72" s="1130"/>
      <c r="S72" s="1131"/>
      <c r="T72" s="1132"/>
      <c r="U72" s="1131"/>
      <c r="V72" s="1132"/>
      <c r="W72" s="1131">
        <f t="shared" si="71"/>
        <v>0</v>
      </c>
      <c r="X72" s="1132"/>
      <c r="Y72" s="1131"/>
      <c r="Z72" s="1132"/>
      <c r="AA72" s="1135">
        <f t="shared" si="72"/>
        <v>0</v>
      </c>
      <c r="AB72" s="1149">
        <f t="shared" si="73"/>
        <v>1923220</v>
      </c>
    </row>
    <row r="73" spans="1:29" ht="56.25">
      <c r="A73" s="1124">
        <v>45</v>
      </c>
      <c r="B73" s="1138">
        <v>3</v>
      </c>
      <c r="C73" s="1136" t="s">
        <v>1350</v>
      </c>
      <c r="D73" s="1132" t="s">
        <v>1318</v>
      </c>
      <c r="E73" s="1127" t="s">
        <v>1351</v>
      </c>
      <c r="F73" s="1159">
        <v>6</v>
      </c>
      <c r="G73" s="1129"/>
      <c r="H73" s="1159">
        <v>4</v>
      </c>
      <c r="I73" s="1127"/>
      <c r="J73" s="1137"/>
      <c r="K73" s="1127"/>
      <c r="L73" s="1131"/>
      <c r="M73" s="1138"/>
      <c r="N73" s="1138"/>
      <c r="O73" s="1124"/>
      <c r="P73" s="1124"/>
      <c r="Q73" s="1138">
        <f t="shared" si="70"/>
        <v>0</v>
      </c>
      <c r="R73" s="1130">
        <f>80*$AB$4</f>
        <v>36037.600000000006</v>
      </c>
      <c r="S73" s="1131">
        <f>R73*F73*(G73+H73)</f>
        <v>864902.40000000014</v>
      </c>
      <c r="T73" s="1132">
        <v>28000</v>
      </c>
      <c r="U73" s="1131">
        <f>T73*F73*(G73+H73)</f>
        <v>672000</v>
      </c>
      <c r="V73" s="1132">
        <v>1889</v>
      </c>
      <c r="W73" s="1131">
        <f t="shared" si="71"/>
        <v>45336</v>
      </c>
      <c r="X73" s="1132">
        <v>690422</v>
      </c>
      <c r="Y73" s="1131">
        <f>X73*(G73+H73)</f>
        <v>2761688</v>
      </c>
      <c r="Z73" s="1130">
        <f>80*$AB$5*(G73+H73)</f>
        <v>156419.20000000001</v>
      </c>
      <c r="AA73" s="1135">
        <f t="shared" si="72"/>
        <v>4500345.6000000006</v>
      </c>
      <c r="AB73" s="1149">
        <f t="shared" si="73"/>
        <v>4500345.6000000006</v>
      </c>
    </row>
    <row r="74" spans="1:29">
      <c r="A74" s="1807" t="s">
        <v>38</v>
      </c>
      <c r="B74" s="1807"/>
      <c r="C74" s="1807"/>
      <c r="D74" s="1807"/>
      <c r="E74" s="1807"/>
      <c r="F74" s="1807"/>
      <c r="G74" s="1807"/>
      <c r="H74" s="1144"/>
      <c r="I74" s="1145"/>
      <c r="J74" s="1145">
        <f>SUM(J71:J73)</f>
        <v>1944000</v>
      </c>
      <c r="K74" s="1145"/>
      <c r="L74" s="1145">
        <f>SUM(L71:L73)</f>
        <v>0</v>
      </c>
      <c r="M74" s="1145"/>
      <c r="N74" s="1145">
        <f>SUM(N71:N73)</f>
        <v>1337796</v>
      </c>
      <c r="O74" s="1213"/>
      <c r="P74" s="1145">
        <f>SUM(P71:P73)</f>
        <v>180000</v>
      </c>
      <c r="Q74" s="1145">
        <f>SUM(Q71:Q73)</f>
        <v>3461796</v>
      </c>
      <c r="R74" s="1228"/>
      <c r="S74" s="1145">
        <f>SUM(S71:S73)</f>
        <v>864902.40000000014</v>
      </c>
      <c r="T74" s="1228"/>
      <c r="U74" s="1145">
        <f>SUM(U71:U73)</f>
        <v>672000</v>
      </c>
      <c r="V74" s="1228"/>
      <c r="W74" s="1145">
        <f>SUM(W71:W73)</f>
        <v>45336</v>
      </c>
      <c r="X74" s="1228"/>
      <c r="Y74" s="1145">
        <f>SUM(Y71:Y73)</f>
        <v>2761688</v>
      </c>
      <c r="Z74" s="1145">
        <f>SUM(Z71:Z73)</f>
        <v>156419.20000000001</v>
      </c>
      <c r="AA74" s="1145">
        <f>SUM(AA71:AA73)</f>
        <v>4500345.6000000006</v>
      </c>
      <c r="AB74" s="1145">
        <f>SUM(AB71:AB73)</f>
        <v>7962141.6000000006</v>
      </c>
      <c r="AC74" s="1120">
        <f>AB74-AA74-Q74</f>
        <v>0</v>
      </c>
    </row>
    <row r="75" spans="1:29">
      <c r="A75" s="1819" t="s">
        <v>1352</v>
      </c>
      <c r="B75" s="1820"/>
      <c r="C75" s="1820"/>
      <c r="D75" s="1820"/>
      <c r="E75" s="1820"/>
      <c r="F75" s="1820"/>
      <c r="G75" s="1820"/>
      <c r="H75" s="1820"/>
      <c r="I75" s="1805"/>
      <c r="J75" s="1805"/>
      <c r="K75" s="1805"/>
      <c r="L75" s="1805"/>
      <c r="M75" s="1805"/>
      <c r="N75" s="1805"/>
      <c r="O75" s="1805"/>
      <c r="P75" s="1805"/>
      <c r="Q75" s="1805"/>
      <c r="R75" s="1805"/>
      <c r="S75" s="1805"/>
      <c r="T75" s="1805"/>
      <c r="U75" s="1805"/>
      <c r="V75" s="1805"/>
      <c r="W75" s="1805"/>
      <c r="X75" s="1805"/>
      <c r="Y75" s="1805"/>
      <c r="Z75" s="1805"/>
      <c r="AA75" s="1805"/>
      <c r="AB75" s="1821"/>
    </row>
    <row r="76" spans="1:29" ht="56.25">
      <c r="A76" s="1149">
        <v>46</v>
      </c>
      <c r="B76" s="1173">
        <v>1</v>
      </c>
      <c r="C76" s="1174" t="s">
        <v>1353</v>
      </c>
      <c r="D76" s="1132" t="s">
        <v>1354</v>
      </c>
      <c r="E76" s="1132" t="s">
        <v>1355</v>
      </c>
      <c r="F76" s="1166">
        <v>5</v>
      </c>
      <c r="G76" s="1166"/>
      <c r="H76" s="1149">
        <v>2</v>
      </c>
      <c r="I76" s="1149"/>
      <c r="J76" s="1149"/>
      <c r="K76" s="1149"/>
      <c r="L76" s="1149"/>
      <c r="M76" s="1149"/>
      <c r="N76" s="1149"/>
      <c r="O76" s="1133"/>
      <c r="P76" s="1133"/>
      <c r="Q76" s="1149">
        <f t="shared" ref="Q76:Q78" si="74">SUM(J76+L76+N76+P76)</f>
        <v>0</v>
      </c>
      <c r="R76" s="1130">
        <f>80*$AB$4</f>
        <v>36037.600000000006</v>
      </c>
      <c r="S76" s="1127">
        <f>R76*F76*(G76+H76)</f>
        <v>360376.00000000006</v>
      </c>
      <c r="T76" s="1132">
        <v>28000</v>
      </c>
      <c r="U76" s="1127">
        <f>T76*F76*(G76+H76)</f>
        <v>280000</v>
      </c>
      <c r="V76" s="1133">
        <v>1889</v>
      </c>
      <c r="W76" s="1131">
        <f t="shared" ref="W76:W78" si="75">V76*(G76+H76)*F76</f>
        <v>18890</v>
      </c>
      <c r="X76" s="1133">
        <v>389563</v>
      </c>
      <c r="Y76" s="1131">
        <f>X76*(G76+H76)</f>
        <v>779126</v>
      </c>
      <c r="Z76" s="1130">
        <f>80*$AB$5*(G76+H76)</f>
        <v>78209.600000000006</v>
      </c>
      <c r="AA76" s="1135">
        <f t="shared" ref="AA76:AA78" si="76">S76+U76+W76+Y76+Z76</f>
        <v>1516601.6</v>
      </c>
      <c r="AB76" s="1149">
        <f t="shared" ref="AB76:AB78" si="77">AA76+Q76</f>
        <v>1516601.6</v>
      </c>
    </row>
    <row r="77" spans="1:29" ht="56.25">
      <c r="A77" s="1149">
        <v>47</v>
      </c>
      <c r="B77" s="1173">
        <v>2</v>
      </c>
      <c r="C77" s="1174" t="s">
        <v>1356</v>
      </c>
      <c r="D77" s="1132" t="s">
        <v>1357</v>
      </c>
      <c r="E77" s="1132" t="s">
        <v>1358</v>
      </c>
      <c r="F77" s="1166">
        <v>6</v>
      </c>
      <c r="G77" s="1166"/>
      <c r="H77" s="1149">
        <v>2</v>
      </c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432451.20000000007</v>
      </c>
      <c r="T77" s="1132">
        <v>26000</v>
      </c>
      <c r="U77" s="1127">
        <f>T77*F77*(G77+H77)</f>
        <v>312000</v>
      </c>
      <c r="V77" s="1133">
        <v>1029</v>
      </c>
      <c r="W77" s="1133">
        <f t="shared" si="75"/>
        <v>12348</v>
      </c>
      <c r="X77" s="1133">
        <v>579472</v>
      </c>
      <c r="Y77" s="1133">
        <f>X77*(G77+H77)</f>
        <v>1158944</v>
      </c>
      <c r="Z77" s="1133"/>
      <c r="AA77" s="1135">
        <f t="shared" si="76"/>
        <v>1915743.2000000002</v>
      </c>
      <c r="AB77" s="1149">
        <f t="shared" si="77"/>
        <v>1915743.2000000002</v>
      </c>
    </row>
    <row r="78" spans="1:29" ht="37.5">
      <c r="A78" s="1149">
        <v>48</v>
      </c>
      <c r="B78" s="1173">
        <v>3</v>
      </c>
      <c r="C78" s="1126" t="s">
        <v>1359</v>
      </c>
      <c r="D78" s="1132" t="s">
        <v>1360</v>
      </c>
      <c r="E78" s="1132" t="s">
        <v>1361</v>
      </c>
      <c r="F78" s="1166">
        <v>14</v>
      </c>
      <c r="G78" s="1166"/>
      <c r="H78" s="1149">
        <v>2</v>
      </c>
      <c r="I78" s="1149"/>
      <c r="J78" s="1149"/>
      <c r="K78" s="1149"/>
      <c r="L78" s="1149"/>
      <c r="M78" s="1149"/>
      <c r="N78" s="1149"/>
      <c r="O78" s="1133"/>
      <c r="P78" s="1133"/>
      <c r="Q78" s="1149">
        <f t="shared" si="74"/>
        <v>0</v>
      </c>
      <c r="R78" s="1130">
        <f>80*$AB$4</f>
        <v>36037.600000000006</v>
      </c>
      <c r="S78" s="1127">
        <f>R78*F78*(G78+H78)</f>
        <v>1009052.8000000002</v>
      </c>
      <c r="T78" s="1132">
        <v>26000</v>
      </c>
      <c r="U78" s="1127">
        <f>T78*F78*(G78+H78)</f>
        <v>728000</v>
      </c>
      <c r="V78" s="1133">
        <v>1029</v>
      </c>
      <c r="W78" s="1131">
        <f t="shared" si="75"/>
        <v>28812</v>
      </c>
      <c r="X78" s="1133">
        <v>505732</v>
      </c>
      <c r="Y78" s="1131">
        <f>X78*(G78+H78)</f>
        <v>1011464</v>
      </c>
      <c r="Z78" s="1130">
        <f>40*$AB$4</f>
        <v>18018.800000000003</v>
      </c>
      <c r="AA78" s="1135">
        <f t="shared" si="76"/>
        <v>2795347.6</v>
      </c>
      <c r="AB78" s="1149">
        <f t="shared" si="77"/>
        <v>2795347.6</v>
      </c>
    </row>
    <row r="79" spans="1:29">
      <c r="A79" s="1807" t="s">
        <v>38</v>
      </c>
      <c r="B79" s="1807"/>
      <c r="C79" s="1807"/>
      <c r="D79" s="1807"/>
      <c r="E79" s="1807"/>
      <c r="F79" s="1807"/>
      <c r="G79" s="1807"/>
      <c r="H79" s="1807"/>
      <c r="I79" s="1145"/>
      <c r="J79" s="1145">
        <f>SUM(J76:J78)</f>
        <v>0</v>
      </c>
      <c r="K79" s="1145"/>
      <c r="L79" s="1145">
        <f>SUM(L76:L78)</f>
        <v>0</v>
      </c>
      <c r="M79" s="1145"/>
      <c r="N79" s="1145">
        <f>SUM(N76:N78)</f>
        <v>0</v>
      </c>
      <c r="O79" s="1213"/>
      <c r="P79" s="1145">
        <f>SUM(P76:P78)</f>
        <v>0</v>
      </c>
      <c r="Q79" s="1145">
        <f>SUM(Q76:Q78)</f>
        <v>0</v>
      </c>
      <c r="R79" s="1228"/>
      <c r="S79" s="1145">
        <f>SUM(S76:S78)</f>
        <v>1801880.0000000005</v>
      </c>
      <c r="T79" s="1228"/>
      <c r="U79" s="1145">
        <f>SUM(U76:U78)</f>
        <v>1320000</v>
      </c>
      <c r="V79" s="1228"/>
      <c r="W79" s="1145">
        <f>SUM(W76:W78)</f>
        <v>60050</v>
      </c>
      <c r="X79" s="1228"/>
      <c r="Y79" s="1145">
        <f>SUM(Y76:Y78)</f>
        <v>2949534</v>
      </c>
      <c r="Z79" s="1145">
        <f>SUM(Z76:Z78)</f>
        <v>96228.400000000009</v>
      </c>
      <c r="AA79" s="1145">
        <f>SUM(AA76:AA78)</f>
        <v>6227692.4000000004</v>
      </c>
      <c r="AB79" s="1145">
        <f>SUM(AB76:AB78)</f>
        <v>6227692.4000000004</v>
      </c>
      <c r="AC79" s="1146">
        <f>AB79-AA79-Q79</f>
        <v>0</v>
      </c>
    </row>
    <row r="80" spans="1:29">
      <c r="A80" s="1809" t="s">
        <v>1362</v>
      </c>
      <c r="B80" s="1809"/>
      <c r="C80" s="1809"/>
      <c r="D80" s="1809"/>
      <c r="E80" s="1809"/>
      <c r="F80" s="1809"/>
      <c r="G80" s="1809"/>
      <c r="H80" s="1809"/>
      <c r="I80" s="1810"/>
      <c r="J80" s="1810"/>
      <c r="K80" s="1810"/>
      <c r="L80" s="1810"/>
      <c r="M80" s="1810"/>
      <c r="N80" s="1810"/>
      <c r="O80" s="1810"/>
      <c r="P80" s="1810"/>
      <c r="Q80" s="1810"/>
      <c r="R80" s="1810"/>
      <c r="S80" s="1810"/>
      <c r="T80" s="1810"/>
      <c r="U80" s="1810"/>
      <c r="V80" s="1810"/>
      <c r="W80" s="1810"/>
      <c r="X80" s="1810"/>
      <c r="Y80" s="1810"/>
      <c r="Z80" s="1810"/>
      <c r="AA80" s="1810"/>
      <c r="AB80" s="1810"/>
    </row>
    <row r="81" spans="1:29" ht="126" customHeight="1">
      <c r="A81" s="1124">
        <v>49</v>
      </c>
      <c r="B81" s="1129">
        <v>1</v>
      </c>
      <c r="C81" s="1175" t="s">
        <v>1363</v>
      </c>
      <c r="D81" s="1149" t="s">
        <v>1364</v>
      </c>
      <c r="E81" s="1149" t="s">
        <v>1365</v>
      </c>
      <c r="F81" s="1166">
        <v>14</v>
      </c>
      <c r="G81" s="1166"/>
      <c r="H81" s="1149">
        <v>2</v>
      </c>
      <c r="I81" s="1127">
        <v>12000</v>
      </c>
      <c r="J81" s="1137">
        <f t="shared" ref="J81" si="78">(G81+H81)*I81*F81</f>
        <v>336000</v>
      </c>
      <c r="K81" s="1149">
        <f>2.5*4129</f>
        <v>10322.5</v>
      </c>
      <c r="L81" s="1131">
        <f t="shared" ref="L81" si="79">K81*F81*G81</f>
        <v>0</v>
      </c>
      <c r="M81" s="1138">
        <f>2*4129</f>
        <v>8258</v>
      </c>
      <c r="N81" s="1138">
        <f t="shared" ref="N81" si="80">M81*H81*F81</f>
        <v>231224</v>
      </c>
      <c r="O81" s="1133">
        <v>10000</v>
      </c>
      <c r="P81" s="1124">
        <f>O81*(H81+G81)*2</f>
        <v>40000</v>
      </c>
      <c r="Q81" s="1138">
        <f t="shared" ref="Q81:Q83" si="81">SUM(J81+L81+N81+P81)</f>
        <v>607224</v>
      </c>
      <c r="R81" s="1149"/>
      <c r="S81" s="1127"/>
      <c r="T81" s="1166"/>
      <c r="U81" s="1127"/>
      <c r="V81" s="1133"/>
      <c r="W81" s="1127">
        <f t="shared" ref="W81:W83" si="82">V81*(G81+H81)*F81</f>
        <v>0</v>
      </c>
      <c r="X81" s="1133"/>
      <c r="Y81" s="1127"/>
      <c r="Z81" s="1133"/>
      <c r="AA81" s="1149">
        <f t="shared" ref="AA81:AA82" si="83">S81+U81+W81+Y81+Z81</f>
        <v>0</v>
      </c>
      <c r="AB81" s="1135">
        <f t="shared" ref="AB81:AB83" si="84">AA81+Q81</f>
        <v>607224</v>
      </c>
    </row>
    <row r="82" spans="1:29" ht="56.25">
      <c r="A82" s="1124">
        <v>50</v>
      </c>
      <c r="B82" s="1129">
        <v>2</v>
      </c>
      <c r="C82" s="1160" t="s">
        <v>1366</v>
      </c>
      <c r="D82" s="1132" t="s">
        <v>1367</v>
      </c>
      <c r="E82" s="1132" t="s">
        <v>389</v>
      </c>
      <c r="F82" s="1166">
        <v>6</v>
      </c>
      <c r="G82" s="1166"/>
      <c r="H82" s="1149">
        <v>2</v>
      </c>
      <c r="I82" s="1149"/>
      <c r="J82" s="1137"/>
      <c r="K82" s="1149"/>
      <c r="L82" s="1131"/>
      <c r="M82" s="1138"/>
      <c r="N82" s="1138"/>
      <c r="O82" s="1133"/>
      <c r="P82" s="1124"/>
      <c r="Q82" s="1138">
        <f t="shared" si="81"/>
        <v>0</v>
      </c>
      <c r="R82" s="1130">
        <f>80*$AB$4</f>
        <v>36037.600000000006</v>
      </c>
      <c r="S82" s="1131">
        <f>R82*F82*(G82+H82)</f>
        <v>432451.20000000007</v>
      </c>
      <c r="T82" s="1132">
        <v>26000</v>
      </c>
      <c r="U82" s="1131">
        <f>T82*F82*(G82+H82)</f>
        <v>312000</v>
      </c>
      <c r="V82" s="1133">
        <v>1889</v>
      </c>
      <c r="W82" s="1131">
        <f t="shared" si="82"/>
        <v>22668</v>
      </c>
      <c r="X82" s="1130">
        <v>685846</v>
      </c>
      <c r="Y82" s="1131">
        <f>X82*(G82+H82)</f>
        <v>1371692</v>
      </c>
      <c r="Z82" s="1130">
        <f>80*$AB$5*(G82+H82)</f>
        <v>78209.600000000006</v>
      </c>
      <c r="AA82" s="1135">
        <f t="shared" si="83"/>
        <v>2217020.8000000003</v>
      </c>
      <c r="AB82" s="1135">
        <f t="shared" si="84"/>
        <v>2217020.8000000003</v>
      </c>
    </row>
    <row r="83" spans="1:29" ht="131.25">
      <c r="A83" s="1124">
        <v>51</v>
      </c>
      <c r="B83" s="1129">
        <v>3</v>
      </c>
      <c r="C83" s="1175" t="s">
        <v>1368</v>
      </c>
      <c r="D83" s="1132" t="s">
        <v>1369</v>
      </c>
      <c r="E83" s="1132" t="s">
        <v>1370</v>
      </c>
      <c r="F83" s="1166">
        <v>14</v>
      </c>
      <c r="G83" s="1166"/>
      <c r="H83" s="1149">
        <v>2</v>
      </c>
      <c r="I83" s="1149"/>
      <c r="J83" s="1149"/>
      <c r="K83" s="1149"/>
      <c r="L83" s="1149"/>
      <c r="M83" s="1149"/>
      <c r="N83" s="1149"/>
      <c r="O83" s="1133"/>
      <c r="P83" s="1133"/>
      <c r="Q83" s="1149">
        <f t="shared" si="81"/>
        <v>0</v>
      </c>
      <c r="R83" s="1130">
        <f>80*$AB$4</f>
        <v>36037.600000000006</v>
      </c>
      <c r="S83" s="1131">
        <f>R83*F83*(G83+H83)</f>
        <v>1009052.8000000002</v>
      </c>
      <c r="T83" s="1132">
        <v>26000</v>
      </c>
      <c r="U83" s="1131">
        <f>T83*F83*(G83+H83)</f>
        <v>728000</v>
      </c>
      <c r="V83" s="1133">
        <v>1029</v>
      </c>
      <c r="W83" s="1131">
        <f t="shared" si="82"/>
        <v>28812</v>
      </c>
      <c r="X83" s="1133">
        <v>505732</v>
      </c>
      <c r="Y83" s="1131">
        <f>X83*(G83+H83)</f>
        <v>1011464</v>
      </c>
      <c r="Z83" s="1130">
        <f>40*$AB$4</f>
        <v>18018.800000000003</v>
      </c>
      <c r="AA83" s="1135">
        <f>S83+U83+W83+Y83+Z83+200</f>
        <v>2795547.6</v>
      </c>
      <c r="AB83" s="1135">
        <f t="shared" si="84"/>
        <v>2795547.6</v>
      </c>
    </row>
    <row r="84" spans="1:29">
      <c r="A84" s="1807" t="s">
        <v>38</v>
      </c>
      <c r="B84" s="1807"/>
      <c r="C84" s="1807"/>
      <c r="D84" s="1807"/>
      <c r="E84" s="1807"/>
      <c r="F84" s="1807"/>
      <c r="G84" s="1807"/>
      <c r="H84" s="1807"/>
      <c r="I84" s="1144"/>
      <c r="J84" s="1144">
        <f>SUM(J81:J83)</f>
        <v>336000</v>
      </c>
      <c r="K84" s="1144"/>
      <c r="L84" s="1144">
        <f>SUM(L81:L83)</f>
        <v>0</v>
      </c>
      <c r="M84" s="1144"/>
      <c r="N84" s="1144">
        <f>SUM(N81:N83)</f>
        <v>231224</v>
      </c>
      <c r="O84" s="1144"/>
      <c r="P84" s="1144">
        <f>SUM(P81:P83)</f>
        <v>40000</v>
      </c>
      <c r="Q84" s="1144">
        <f>SUM(Q81:Q83)</f>
        <v>607224</v>
      </c>
      <c r="R84" s="1144"/>
      <c r="S84" s="1144">
        <f>SUM(S81:S83)</f>
        <v>1441504.0000000002</v>
      </c>
      <c r="T84" s="1144"/>
      <c r="U84" s="1144">
        <f>SUM(U81:U83)</f>
        <v>1040000</v>
      </c>
      <c r="V84" s="1144"/>
      <c r="W84" s="1144">
        <f>SUM(W81:W83)</f>
        <v>51480</v>
      </c>
      <c r="X84" s="1144"/>
      <c r="Y84" s="1144">
        <f>SUM(Y81:Y83)</f>
        <v>2383156</v>
      </c>
      <c r="Z84" s="1144">
        <f>SUM(Z81:Z83)</f>
        <v>96228.400000000009</v>
      </c>
      <c r="AA84" s="1144">
        <f>SUM(AA81:AA83)</f>
        <v>5012568.4000000004</v>
      </c>
      <c r="AB84" s="1144">
        <f>SUM(AB81:AB83)</f>
        <v>5619792.4000000004</v>
      </c>
      <c r="AC84" s="1146">
        <f>AB84-AA84-Q84</f>
        <v>0</v>
      </c>
    </row>
    <row r="85" spans="1:29">
      <c r="A85" s="1822" t="s">
        <v>1152</v>
      </c>
      <c r="B85" s="1823"/>
      <c r="C85" s="1823"/>
      <c r="D85" s="1823"/>
      <c r="E85" s="1824"/>
      <c r="F85" s="1176"/>
      <c r="G85" s="1176"/>
      <c r="H85" s="1176"/>
      <c r="I85" s="1176"/>
      <c r="J85" s="1177">
        <f>J50+J44+J57+J64+J79+J84+J74+J69+J15+J21+J37+J29</f>
        <v>10536000</v>
      </c>
      <c r="K85" s="1177"/>
      <c r="L85" s="1177">
        <f>L50+L44+L57+L64+L79+L84+L74+L69+L15+L21+L37+L29</f>
        <v>0</v>
      </c>
      <c r="M85" s="1177"/>
      <c r="N85" s="1177">
        <f>N50+N44+N57+N64+N79+N84+N74+N69+N15+N21+N37+N29</f>
        <v>7333104</v>
      </c>
      <c r="O85" s="1177"/>
      <c r="P85" s="1177">
        <f>P50+P44+P57+P64+P79+P84+P74+P69+P15+P21+P37+P29</f>
        <v>1260000</v>
      </c>
      <c r="Q85" s="1177">
        <f>Q50+Q44+Q57+Q64+Q79+Q84+Q74+Q69+Q15+Q21+Q37+Q29</f>
        <v>19129104</v>
      </c>
      <c r="R85" s="1177"/>
      <c r="S85" s="1177">
        <f>S50+S44+S57+S64+S79+S84+S74+S69+S15+S21+S37+S29</f>
        <v>23712740.800000004</v>
      </c>
      <c r="T85" s="1177"/>
      <c r="U85" s="1177">
        <f>U50+U44+U57+U64+U79+U84+U74+U69+U15+U21+U37+U29</f>
        <v>18264000</v>
      </c>
      <c r="V85" s="1177"/>
      <c r="W85" s="1177">
        <f>W50+W44+W57+W64+W79+W84+W74+W69+W15+W21+W37+W29</f>
        <v>859706</v>
      </c>
      <c r="X85" s="1177"/>
      <c r="Y85" s="1177">
        <f>Y50+Y44+Y57+Y64+Y79+Y84+Y74+Y69+Y15+Y21+Y37+Y29</f>
        <v>43542488</v>
      </c>
      <c r="Z85" s="1177">
        <f>Z50+Z44+Z57+Z64+Z79+Z84+Z74+Z69+Z15+Z21+Z37+Z29</f>
        <v>1830472.8249999997</v>
      </c>
      <c r="AA85" s="1177">
        <f>AA50+AA44+AA57+AA64+AA79+AA84+AA74+AA69+AA15+AA21+AA37+AA29</f>
        <v>88209607.625</v>
      </c>
      <c r="AB85" s="1177">
        <f>AB50+AB44+AB57+AB64+AB79+AB84+AB74+AB69+AB15+AB21+AB37+AB29</f>
        <v>107338711.625</v>
      </c>
    </row>
    <row r="87" spans="1:29">
      <c r="AB87" s="1146"/>
    </row>
    <row r="88" spans="1:29" ht="21">
      <c r="H88" s="1368"/>
      <c r="I88" s="1369" t="s">
        <v>640</v>
      </c>
      <c r="J88" s="1368"/>
      <c r="K88" s="1368"/>
      <c r="L88" s="1368"/>
      <c r="M88" s="1368"/>
      <c r="N88" s="1368"/>
      <c r="O88" s="1368"/>
      <c r="P88" s="1368"/>
      <c r="Q88" s="1368"/>
      <c r="R88" s="1369" t="s">
        <v>1167</v>
      </c>
      <c r="S88" s="1368"/>
      <c r="AB88" s="1226"/>
    </row>
    <row r="89" spans="1:29" ht="21">
      <c r="H89" s="1368"/>
      <c r="I89" s="1369"/>
      <c r="J89" s="1368"/>
      <c r="K89" s="1368"/>
      <c r="L89" s="1368"/>
      <c r="M89" s="1368"/>
      <c r="N89" s="1368"/>
      <c r="O89" s="1368"/>
      <c r="P89" s="1368"/>
      <c r="Q89" s="1368"/>
      <c r="R89" s="1369"/>
      <c r="S89" s="1368"/>
      <c r="AB89" s="1146"/>
    </row>
    <row r="90" spans="1:29" ht="21">
      <c r="A90" s="674"/>
      <c r="B90" s="674"/>
      <c r="C90" s="674"/>
      <c r="D90" s="1212"/>
      <c r="E90" s="916"/>
      <c r="F90" s="917"/>
      <c r="G90" s="674"/>
      <c r="H90" s="1369"/>
      <c r="I90" s="1369"/>
      <c r="J90" s="1369"/>
      <c r="K90" s="1370"/>
      <c r="L90" s="1369"/>
      <c r="M90" s="1368"/>
      <c r="N90" s="1368"/>
      <c r="O90" s="1368"/>
      <c r="P90" s="1368"/>
      <c r="Q90" s="1368"/>
      <c r="R90" s="1369"/>
      <c r="S90" s="1368"/>
      <c r="Z90" s="1146"/>
      <c r="AB90" s="1146"/>
    </row>
    <row r="91" spans="1:29" ht="21">
      <c r="A91" s="674"/>
      <c r="B91" s="674"/>
      <c r="C91" s="674"/>
      <c r="D91" s="1212"/>
      <c r="E91" s="916"/>
      <c r="F91" s="917"/>
      <c r="G91" s="674"/>
      <c r="H91" s="1369"/>
      <c r="I91" s="1369" t="s">
        <v>1166</v>
      </c>
      <c r="J91" s="1371"/>
      <c r="K91" s="1370"/>
      <c r="L91" s="1371"/>
      <c r="M91" s="1368"/>
      <c r="N91" s="1368"/>
      <c r="O91" s="1368"/>
      <c r="P91" s="1368"/>
      <c r="Q91" s="1368"/>
      <c r="R91" s="1369" t="s">
        <v>1168</v>
      </c>
      <c r="S91" s="1368"/>
      <c r="AB91" s="1146"/>
    </row>
    <row r="92" spans="1:29">
      <c r="A92" s="674"/>
      <c r="B92" s="674"/>
      <c r="C92" s="674"/>
      <c r="D92" s="1212"/>
      <c r="E92" s="916"/>
      <c r="F92" s="917"/>
      <c r="G92" s="674"/>
      <c r="H92" s="674"/>
      <c r="J92" s="674"/>
      <c r="K92" s="917"/>
      <c r="L92" s="674"/>
    </row>
  </sheetData>
  <mergeCells count="47">
    <mergeCell ref="A85:E85"/>
    <mergeCell ref="A70:AB70"/>
    <mergeCell ref="A74:G74"/>
    <mergeCell ref="A75:AB75"/>
    <mergeCell ref="A79:H79"/>
    <mergeCell ref="A80:AB80"/>
    <mergeCell ref="A84:H84"/>
    <mergeCell ref="A69:H69"/>
    <mergeCell ref="A30:AB30"/>
    <mergeCell ref="A37:E37"/>
    <mergeCell ref="A38:AB38"/>
    <mergeCell ref="A44:H44"/>
    <mergeCell ref="A45:AB45"/>
    <mergeCell ref="A50:H50"/>
    <mergeCell ref="A51:AB51"/>
    <mergeCell ref="A57:H57"/>
    <mergeCell ref="A58:AB58"/>
    <mergeCell ref="A64:H64"/>
    <mergeCell ref="A65:AB65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79998168889431442"/>
  </sheetPr>
  <dimension ref="A1:AC92"/>
  <sheetViews>
    <sheetView view="pageBreakPreview" topLeftCell="I83" zoomScale="60" zoomScaleNormal="70" workbookViewId="0">
      <selection activeCell="I88" sqref="I88:S91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customWidth="1"/>
    <col min="8" max="8" width="6.5703125" style="1120" hidden="1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4.710937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1371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825" t="s">
        <v>278</v>
      </c>
      <c r="S7" s="1825"/>
      <c r="T7" s="1825"/>
      <c r="U7" s="1825"/>
      <c r="V7" s="1825"/>
      <c r="W7" s="1825"/>
      <c r="X7" s="1825"/>
      <c r="Y7" s="1825"/>
      <c r="Z7" s="1825"/>
      <c r="AA7" s="1825"/>
      <c r="AB7" s="1825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825" t="s">
        <v>280</v>
      </c>
      <c r="S8" s="1825"/>
      <c r="T8" s="1825" t="s">
        <v>285</v>
      </c>
      <c r="U8" s="1825"/>
      <c r="V8" s="1825" t="s">
        <v>286</v>
      </c>
      <c r="W8" s="1825"/>
      <c r="X8" s="1825" t="s">
        <v>283</v>
      </c>
      <c r="Y8" s="1825"/>
      <c r="Z8" s="1825" t="s">
        <v>287</v>
      </c>
      <c r="AA8" s="1825" t="s">
        <v>290</v>
      </c>
      <c r="AB8" s="182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14" t="s">
        <v>291</v>
      </c>
      <c r="S9" s="1214" t="s">
        <v>292</v>
      </c>
      <c r="T9" s="1214" t="s">
        <v>294</v>
      </c>
      <c r="U9" s="1214" t="s">
        <v>292</v>
      </c>
      <c r="V9" s="1214" t="s">
        <v>296</v>
      </c>
      <c r="W9" s="1214" t="s">
        <v>292</v>
      </c>
      <c r="X9" s="1214" t="s">
        <v>297</v>
      </c>
      <c r="Y9" s="1214" t="s">
        <v>4</v>
      </c>
      <c r="Z9" s="1825"/>
      <c r="AA9" s="1825"/>
      <c r="AB9" s="1825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>
        <v>15</v>
      </c>
      <c r="H11" s="1125"/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6486768.0000000009</v>
      </c>
      <c r="T11" s="1132">
        <v>28000</v>
      </c>
      <c r="U11" s="1131">
        <f>T11*F11*(G11+H11)</f>
        <v>5040000</v>
      </c>
      <c r="V11" s="1133">
        <v>657</v>
      </c>
      <c r="W11" s="1131">
        <f t="shared" ref="W11:W14" si="1">V11*(G11+H11)*F11</f>
        <v>118260</v>
      </c>
      <c r="X11" s="1134">
        <v>267695</v>
      </c>
      <c r="Y11" s="1131">
        <f>X11*(G11+H11)</f>
        <v>4015425</v>
      </c>
      <c r="Z11" s="1130"/>
      <c r="AA11" s="1135">
        <f>S11+U11+W11+Y11+Z11</f>
        <v>15660453</v>
      </c>
      <c r="AB11" s="1135">
        <f t="shared" ref="AB11:AB14" si="2">AA11+Q11</f>
        <v>15660453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>
        <v>12</v>
      </c>
      <c r="H12" s="1125"/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1729804.8000000003</v>
      </c>
      <c r="T12" s="1132">
        <v>28000</v>
      </c>
      <c r="U12" s="1131">
        <f>T12*F12*(G12+H12)</f>
        <v>1344000</v>
      </c>
      <c r="V12" s="1133">
        <v>657</v>
      </c>
      <c r="W12" s="1131">
        <f t="shared" si="1"/>
        <v>31536</v>
      </c>
      <c r="X12" s="1134">
        <v>267695</v>
      </c>
      <c r="Y12" s="1131">
        <f>X12*(G12+H12)</f>
        <v>3212340</v>
      </c>
      <c r="Z12" s="1130">
        <v>79466</v>
      </c>
      <c r="AA12" s="1135">
        <f t="shared" ref="AA12:AA14" si="3">S12+U12+W12+Y12+Z12</f>
        <v>6397146.8000000007</v>
      </c>
      <c r="AB12" s="1135">
        <f t="shared" si="2"/>
        <v>6397146.8000000007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>
        <v>15</v>
      </c>
      <c r="H13" s="1139"/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6486768.0000000009</v>
      </c>
      <c r="T13" s="1132">
        <v>28000</v>
      </c>
      <c r="U13" s="1131">
        <f>T13*F13*(G13+H13)</f>
        <v>5040000</v>
      </c>
      <c r="V13" s="1132">
        <v>1889</v>
      </c>
      <c r="W13" s="1131">
        <f t="shared" si="1"/>
        <v>340020</v>
      </c>
      <c r="X13" s="1134">
        <v>389563</v>
      </c>
      <c r="Y13" s="1131">
        <f>X13*(G13+H13)</f>
        <v>5843445</v>
      </c>
      <c r="Z13" s="1130">
        <f>80*$AB$5*(G73+H73)</f>
        <v>469257.60000000003</v>
      </c>
      <c r="AA13" s="1135">
        <f t="shared" si="3"/>
        <v>18179490.600000001</v>
      </c>
      <c r="AB13" s="1135">
        <f t="shared" si="2"/>
        <v>18179490.600000001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>
        <v>12</v>
      </c>
      <c r="H14" s="1139"/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2162256.0000000005</v>
      </c>
      <c r="T14" s="1132">
        <v>28000</v>
      </c>
      <c r="U14" s="1131">
        <f>T14*F14*(G14+H14)</f>
        <v>1680000</v>
      </c>
      <c r="V14" s="1132">
        <v>1889</v>
      </c>
      <c r="W14" s="1131">
        <f t="shared" si="1"/>
        <v>113340</v>
      </c>
      <c r="X14" s="1134">
        <v>389563</v>
      </c>
      <c r="Y14" s="1131">
        <f>X14*(G14+H14)</f>
        <v>4674756</v>
      </c>
      <c r="Z14" s="1130">
        <f>80*$AB$5*(G74+H74)</f>
        <v>0</v>
      </c>
      <c r="AA14" s="1135">
        <f t="shared" si="3"/>
        <v>8630352</v>
      </c>
      <c r="AB14" s="1135">
        <f t="shared" si="2"/>
        <v>8630352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13"/>
      <c r="S15" s="1145">
        <f>SUM(S11:S14)</f>
        <v>16865596.800000001</v>
      </c>
      <c r="T15" s="1213"/>
      <c r="U15" s="1145">
        <f>SUM(U11:U14)</f>
        <v>13104000</v>
      </c>
      <c r="V15" s="1213"/>
      <c r="W15" s="1145">
        <f>SUM(W11:W14)</f>
        <v>603156</v>
      </c>
      <c r="X15" s="1213"/>
      <c r="Y15" s="1145">
        <f>SUM(Y11:Y14)</f>
        <v>17745966</v>
      </c>
      <c r="Z15" s="1145">
        <f>SUM(Z11:Z14)</f>
        <v>548723.60000000009</v>
      </c>
      <c r="AA15" s="1145">
        <f>SUM(AA11:AA14)</f>
        <v>48867442.400000006</v>
      </c>
      <c r="AB15" s="1145">
        <f>SUM(AB11:AB14)</f>
        <v>48867442.400000006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>
        <v>15</v>
      </c>
      <c r="H17" s="1125"/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7567896.0000000009</v>
      </c>
      <c r="T17" s="1132">
        <v>28000</v>
      </c>
      <c r="U17" s="1131">
        <f>T17*F17*(G17+H17)</f>
        <v>5880000</v>
      </c>
      <c r="V17" s="1133">
        <v>657</v>
      </c>
      <c r="W17" s="1131">
        <f t="shared" ref="W17:W20" si="5">V17*(G17+H17)*F17</f>
        <v>137970</v>
      </c>
      <c r="X17" s="1134">
        <v>267695</v>
      </c>
      <c r="Y17" s="1131">
        <f>X17*(G17+H17)</f>
        <v>4015425</v>
      </c>
      <c r="Z17" s="1130"/>
      <c r="AA17" s="1135">
        <f t="shared" ref="AA17:AA20" si="6">S17+U17+W17+Y17+Z17</f>
        <v>17601291</v>
      </c>
      <c r="AB17" s="1148">
        <f t="shared" ref="AB17:AB20" si="7">Q17+AA17</f>
        <v>17601291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1443</v>
      </c>
      <c r="F18" s="1127">
        <v>15</v>
      </c>
      <c r="G18" s="1128">
        <v>15</v>
      </c>
      <c r="H18" s="1125"/>
      <c r="I18" s="1127">
        <v>12000</v>
      </c>
      <c r="J18" s="1129">
        <f>(G18+H18)*I18*14</f>
        <v>2520000</v>
      </c>
      <c r="K18" s="1149">
        <f>2.5*4129</f>
        <v>10322.5</v>
      </c>
      <c r="L18" s="1127">
        <f t="shared" ref="L18:L19" si="8">K18*F18*G18</f>
        <v>2322562.5</v>
      </c>
      <c r="M18" s="1124">
        <f>2*4129</f>
        <v>8258</v>
      </c>
      <c r="N18" s="1124">
        <f t="shared" ref="N18:N19" si="9">M18*H18*F18</f>
        <v>0</v>
      </c>
      <c r="O18" s="1124">
        <v>10000</v>
      </c>
      <c r="P18" s="1124">
        <f>O18*(H18+G18)*2</f>
        <v>300000</v>
      </c>
      <c r="Q18" s="1124">
        <f t="shared" si="4"/>
        <v>5142562.5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5142562.5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1443</v>
      </c>
      <c r="F19" s="1127">
        <v>15</v>
      </c>
      <c r="G19" s="1128">
        <v>15</v>
      </c>
      <c r="H19" s="1125"/>
      <c r="I19" s="1127">
        <v>12000</v>
      </c>
      <c r="J19" s="1129">
        <f>(G19+H19)*I19*14</f>
        <v>2520000</v>
      </c>
      <c r="K19" s="1149">
        <f>2.5*4129</f>
        <v>10322.5</v>
      </c>
      <c r="L19" s="1127">
        <f t="shared" si="8"/>
        <v>2322562.5</v>
      </c>
      <c r="M19" s="1124">
        <f>2*4129</f>
        <v>8258</v>
      </c>
      <c r="N19" s="1124">
        <f t="shared" si="9"/>
        <v>0</v>
      </c>
      <c r="O19" s="1124">
        <v>10000</v>
      </c>
      <c r="P19" s="1124">
        <f>O19*(H19+G19)*2</f>
        <v>300000</v>
      </c>
      <c r="Q19" s="1124">
        <f t="shared" si="4"/>
        <v>5142562.5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5142562.5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>
        <v>12</v>
      </c>
      <c r="H20" s="1125"/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80*$AB$4</f>
        <v>36037.600000000006</v>
      </c>
      <c r="S20" s="1131">
        <f>R20*F20*(G20+H20)</f>
        <v>2594707.2000000002</v>
      </c>
      <c r="T20" s="1132">
        <v>28000</v>
      </c>
      <c r="U20" s="1131">
        <f>T20*F20*(G20+H20)</f>
        <v>2016000</v>
      </c>
      <c r="V20" s="54">
        <v>1029</v>
      </c>
      <c r="W20" s="1131">
        <f t="shared" si="5"/>
        <v>74088</v>
      </c>
      <c r="X20" s="1130">
        <v>580237</v>
      </c>
      <c r="Y20" s="1131">
        <f>X20*(G20+H20)</f>
        <v>6962844</v>
      </c>
      <c r="Z20" s="1130">
        <f>67.5*$AB$4*(G20+H20)</f>
        <v>364880.7</v>
      </c>
      <c r="AA20" s="1135">
        <f t="shared" si="6"/>
        <v>12012519.899999999</v>
      </c>
      <c r="AB20" s="1148">
        <f t="shared" si="7"/>
        <v>12012519.899999999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5040000</v>
      </c>
      <c r="K21" s="1152"/>
      <c r="L21" s="1152">
        <f>SUM(L17:L20)</f>
        <v>4645125</v>
      </c>
      <c r="M21" s="1152"/>
      <c r="N21" s="1152">
        <f>SUM(N17:N20)</f>
        <v>0</v>
      </c>
      <c r="O21" s="1152"/>
      <c r="P21" s="1152">
        <f>SUM(P17:P20)</f>
        <v>600000</v>
      </c>
      <c r="Q21" s="1152">
        <f>SUM(Q17:Q20)</f>
        <v>10285125</v>
      </c>
      <c r="R21" s="1152"/>
      <c r="S21" s="1152">
        <f>SUM(S17:S20)</f>
        <v>10162603.200000001</v>
      </c>
      <c r="T21" s="1152"/>
      <c r="U21" s="1152">
        <f>SUM(U17:U20)</f>
        <v>7896000</v>
      </c>
      <c r="V21" s="1152"/>
      <c r="W21" s="1152">
        <f>SUM(W17:W20)</f>
        <v>212058</v>
      </c>
      <c r="X21" s="1152"/>
      <c r="Y21" s="1152">
        <f>SUM(Y17:Y20)</f>
        <v>10978269</v>
      </c>
      <c r="Z21" s="1152">
        <f>SUM(Z17:Z20)</f>
        <v>364880.7</v>
      </c>
      <c r="AA21" s="1152">
        <f>SUM(AA17:AA20)</f>
        <v>29613810.899999999</v>
      </c>
      <c r="AB21" s="1152">
        <f>SUM(AB17:AB20)</f>
        <v>39898935.899999999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>
        <v>10</v>
      </c>
      <c r="H23" s="1149"/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2162256.0000000005</v>
      </c>
      <c r="T23" s="1132">
        <v>28000</v>
      </c>
      <c r="U23" s="1127">
        <f>T23*F23*(G23+H23)</f>
        <v>1680000</v>
      </c>
      <c r="V23" s="1132">
        <v>1029</v>
      </c>
      <c r="W23" s="1127">
        <f t="shared" ref="W23:W28" si="11">V23*(G23+H23)*F23</f>
        <v>61740</v>
      </c>
      <c r="X23" s="1132">
        <v>384356</v>
      </c>
      <c r="Y23" s="1131">
        <f>X23*(G23+H23)</f>
        <v>3843560</v>
      </c>
      <c r="Z23" s="1130"/>
      <c r="AA23" s="1135">
        <f t="shared" ref="AA23:AA28" si="12">S23+U23+W23+Y23+Z23</f>
        <v>7747556</v>
      </c>
      <c r="AB23" s="1149">
        <f t="shared" ref="AB23:AB28" si="13">Q23+AA23</f>
        <v>7747556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1442</v>
      </c>
      <c r="F24" s="1127">
        <v>15</v>
      </c>
      <c r="G24" s="1149">
        <v>10</v>
      </c>
      <c r="H24" s="1149"/>
      <c r="I24" s="1127">
        <v>12000</v>
      </c>
      <c r="J24" s="1129">
        <f t="shared" ref="J24" si="14">(G24+H24)*I24*F24</f>
        <v>1800000</v>
      </c>
      <c r="K24" s="1149">
        <f>2.5*4129</f>
        <v>10322.5</v>
      </c>
      <c r="L24" s="1127">
        <f t="shared" ref="L24" si="15">K24*F24*G24</f>
        <v>1548375</v>
      </c>
      <c r="M24" s="1124">
        <f>2*4129</f>
        <v>8258</v>
      </c>
      <c r="N24" s="1124">
        <f t="shared" ref="N24" si="16">M24*H24*F24</f>
        <v>0</v>
      </c>
      <c r="O24" s="1124">
        <v>10000</v>
      </c>
      <c r="P24" s="1124">
        <f>O24*(H24+G24)*2</f>
        <v>200000</v>
      </c>
      <c r="Q24" s="1124">
        <f t="shared" si="10"/>
        <v>3548375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3548375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>
        <v>8</v>
      </c>
      <c r="H25" s="1149"/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1729804.8000000003</v>
      </c>
      <c r="T25" s="1132">
        <v>28000</v>
      </c>
      <c r="U25" s="1127">
        <f>T25*F25*(G25+H25)</f>
        <v>1344000</v>
      </c>
      <c r="V25" s="1132">
        <v>1889</v>
      </c>
      <c r="W25" s="1127">
        <f t="shared" si="11"/>
        <v>90672</v>
      </c>
      <c r="X25" s="1132">
        <v>805167</v>
      </c>
      <c r="Y25" s="1127">
        <f>X25*(G25+H25)</f>
        <v>6441336</v>
      </c>
      <c r="Z25" s="1130">
        <f>80*$AB$5*(G25+H25)</f>
        <v>312838.40000000002</v>
      </c>
      <c r="AA25" s="1149">
        <f t="shared" si="12"/>
        <v>9918651.2000000011</v>
      </c>
      <c r="AB25" s="1149">
        <f t="shared" si="13"/>
        <v>9918651.2000000011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>
        <v>10</v>
      </c>
      <c r="H26" s="1149"/>
      <c r="I26" s="1127">
        <v>12000</v>
      </c>
      <c r="J26" s="1129">
        <f t="shared" ref="J26:J27" si="17">(G26+H26)*I26*F26</f>
        <v>1800000</v>
      </c>
      <c r="K26" s="1149">
        <f>2.5*4129</f>
        <v>10322.5</v>
      </c>
      <c r="L26" s="1127">
        <f t="shared" ref="L26:L27" si="18">K26*F26*G26</f>
        <v>1548375</v>
      </c>
      <c r="M26" s="1124">
        <f>2*4129</f>
        <v>8258</v>
      </c>
      <c r="N26" s="1124">
        <f t="shared" ref="N26:N27" si="19">M26*H26*F26</f>
        <v>0</v>
      </c>
      <c r="O26" s="1124">
        <v>10000</v>
      </c>
      <c r="P26" s="1124">
        <f>O26*(H26+G26)*2</f>
        <v>200000</v>
      </c>
      <c r="Q26" s="1124">
        <f t="shared" si="10"/>
        <v>3548375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3548375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1442</v>
      </c>
      <c r="F27" s="1127">
        <v>14</v>
      </c>
      <c r="G27" s="1149">
        <v>10</v>
      </c>
      <c r="H27" s="1149"/>
      <c r="I27" s="1127">
        <v>12000</v>
      </c>
      <c r="J27" s="1137">
        <f t="shared" si="17"/>
        <v>1680000</v>
      </c>
      <c r="K27" s="1149">
        <f>2.5*4129</f>
        <v>10322.5</v>
      </c>
      <c r="L27" s="1131">
        <f t="shared" si="18"/>
        <v>1445150</v>
      </c>
      <c r="M27" s="1138">
        <f>2*4129</f>
        <v>8258</v>
      </c>
      <c r="N27" s="1138">
        <f t="shared" si="19"/>
        <v>0</v>
      </c>
      <c r="O27" s="1124">
        <v>10000</v>
      </c>
      <c r="P27" s="1124">
        <f>O27*(H27+G27)*2</f>
        <v>200000</v>
      </c>
      <c r="Q27" s="1138">
        <f t="shared" si="10"/>
        <v>3325150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3325150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>
        <v>10</v>
      </c>
      <c r="H28" s="1149"/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2522632.0000000005</v>
      </c>
      <c r="T28" s="1132">
        <v>28000</v>
      </c>
      <c r="U28" s="1131">
        <f>T28*F28*(G28+H28)</f>
        <v>1960000</v>
      </c>
      <c r="V28" s="1132">
        <v>1889</v>
      </c>
      <c r="W28" s="1131">
        <f t="shared" si="11"/>
        <v>132230</v>
      </c>
      <c r="X28" s="1130">
        <v>685846</v>
      </c>
      <c r="Y28" s="1131">
        <f>X28*(G28+H28)</f>
        <v>6858460</v>
      </c>
      <c r="Z28" s="1130">
        <f>80*$AB$5*(G28+H28)</f>
        <v>391048</v>
      </c>
      <c r="AA28" s="1135">
        <f t="shared" si="12"/>
        <v>11864370</v>
      </c>
      <c r="AB28" s="1149">
        <f t="shared" si="13"/>
        <v>11864370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5280000</v>
      </c>
      <c r="K29" s="1145"/>
      <c r="L29" s="1145">
        <f>SUM(L23:L28)</f>
        <v>4541900</v>
      </c>
      <c r="M29" s="1145"/>
      <c r="N29" s="1145">
        <f>SUM(N23:N28)</f>
        <v>0</v>
      </c>
      <c r="O29" s="1213"/>
      <c r="P29" s="1145">
        <f>SUM(P23:P28)</f>
        <v>600000</v>
      </c>
      <c r="Q29" s="1145">
        <f>SUM(Q23:Q28)</f>
        <v>10421900</v>
      </c>
      <c r="R29" s="1213"/>
      <c r="S29" s="1145">
        <f>SUM(S23:S28)</f>
        <v>6414692.8000000007</v>
      </c>
      <c r="T29" s="1213"/>
      <c r="U29" s="1145">
        <f>SUM(U23:U28)</f>
        <v>4984000</v>
      </c>
      <c r="V29" s="1213"/>
      <c r="W29" s="1145">
        <f>SUM(W23:W28)</f>
        <v>284642</v>
      </c>
      <c r="X29" s="1213"/>
      <c r="Y29" s="1145">
        <f>SUM(Y23:Y28)</f>
        <v>17143356</v>
      </c>
      <c r="Z29" s="1145">
        <f>SUM(Z23:Z28)</f>
        <v>703886.4</v>
      </c>
      <c r="AA29" s="1145">
        <f>SUM(AA23:AA28)</f>
        <v>29530577.200000003</v>
      </c>
      <c r="AB29" s="1145">
        <f>SUM(AB23:AB28)</f>
        <v>39952477.200000003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1442</v>
      </c>
      <c r="F31" s="1127">
        <v>15</v>
      </c>
      <c r="G31" s="1129">
        <v>10</v>
      </c>
      <c r="H31" s="1129"/>
      <c r="I31" s="1127">
        <v>12000</v>
      </c>
      <c r="J31" s="1129">
        <f t="shared" ref="J31" si="20">(G31+H31)*I31*F31</f>
        <v>1800000</v>
      </c>
      <c r="K31" s="1149">
        <f>2.5*4129</f>
        <v>10322.5</v>
      </c>
      <c r="L31" s="1127">
        <f t="shared" ref="L31" si="21">K31*F31*G31</f>
        <v>1548375</v>
      </c>
      <c r="M31" s="1124">
        <f>2*4129</f>
        <v>8258</v>
      </c>
      <c r="N31" s="1124">
        <f t="shared" ref="N31" si="22">M31*H31*F31</f>
        <v>0</v>
      </c>
      <c r="O31" s="1124">
        <v>10000</v>
      </c>
      <c r="P31" s="1124">
        <f>O31*(H31+G31)*2</f>
        <v>200000</v>
      </c>
      <c r="Q31" s="1124">
        <f t="shared" ref="Q31:Q36" si="23">SUM(J31+L31+N31+P31)</f>
        <v>3548375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3548375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>
        <v>10</v>
      </c>
      <c r="H32" s="1149"/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2162256.0000000005</v>
      </c>
      <c r="T32" s="1132">
        <v>28000</v>
      </c>
      <c r="U32" s="1127">
        <f>T32*F32*(G32+H32)</f>
        <v>1680000</v>
      </c>
      <c r="V32" s="1132">
        <v>1029</v>
      </c>
      <c r="W32" s="1127">
        <f t="shared" si="24"/>
        <v>61740</v>
      </c>
      <c r="X32" s="1132">
        <v>384356</v>
      </c>
      <c r="Y32" s="1131">
        <f>X32*(G32+H32)</f>
        <v>3843560</v>
      </c>
      <c r="Z32" s="1130"/>
      <c r="AA32" s="1135">
        <f t="shared" si="25"/>
        <v>7747556</v>
      </c>
      <c r="AB32" s="1149">
        <f t="shared" si="26"/>
        <v>7747556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>
        <v>10</v>
      </c>
      <c r="H33" s="1149"/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2162256.0000000005</v>
      </c>
      <c r="T33" s="1132">
        <v>28000</v>
      </c>
      <c r="U33" s="1127">
        <f>T33*F33*(G33+H33)</f>
        <v>1680000</v>
      </c>
      <c r="V33" s="1132">
        <v>1889</v>
      </c>
      <c r="W33" s="1127">
        <f t="shared" si="24"/>
        <v>113340</v>
      </c>
      <c r="X33" s="1132">
        <v>805167</v>
      </c>
      <c r="Y33" s="1127">
        <f>X33*(G33+H33)</f>
        <v>8051670</v>
      </c>
      <c r="Z33" s="1130">
        <f>80*$AB$5*(G33+H33)</f>
        <v>391048</v>
      </c>
      <c r="AA33" s="1149">
        <f t="shared" si="25"/>
        <v>12398314</v>
      </c>
      <c r="AB33" s="1149">
        <f t="shared" si="26"/>
        <v>12398314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>
        <v>10</v>
      </c>
      <c r="H34" s="1129"/>
      <c r="I34" s="1127">
        <v>12000</v>
      </c>
      <c r="J34" s="1129">
        <f t="shared" ref="J34:J35" si="27">(G34+H34)*I34*F34</f>
        <v>1800000</v>
      </c>
      <c r="K34" s="1149">
        <f>2.5*4129</f>
        <v>10322.5</v>
      </c>
      <c r="L34" s="1127">
        <f t="shared" ref="L34:L35" si="28">K34*F34*G34</f>
        <v>1548375</v>
      </c>
      <c r="M34" s="1124">
        <f>2*4129</f>
        <v>8258</v>
      </c>
      <c r="N34" s="1124">
        <f t="shared" ref="N34:N35" si="29">M34*H34*F34</f>
        <v>0</v>
      </c>
      <c r="O34" s="1124">
        <v>10000</v>
      </c>
      <c r="P34" s="1124">
        <f>O34*(H34+G34)*2</f>
        <v>200000</v>
      </c>
      <c r="Q34" s="1124">
        <f t="shared" si="23"/>
        <v>3548375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3548375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1442</v>
      </c>
      <c r="F35" s="1127">
        <v>14</v>
      </c>
      <c r="G35" s="1129">
        <v>10</v>
      </c>
      <c r="H35" s="1129"/>
      <c r="I35" s="1127">
        <v>12000</v>
      </c>
      <c r="J35" s="1129">
        <f t="shared" si="27"/>
        <v>1680000</v>
      </c>
      <c r="K35" s="1149">
        <f>2.5*4129</f>
        <v>10322.5</v>
      </c>
      <c r="L35" s="1127">
        <f t="shared" si="28"/>
        <v>1445150</v>
      </c>
      <c r="M35" s="1124">
        <f>2*4129</f>
        <v>8258</v>
      </c>
      <c r="N35" s="1124">
        <f t="shared" si="29"/>
        <v>0</v>
      </c>
      <c r="O35" s="1124">
        <v>10000</v>
      </c>
      <c r="P35" s="1124">
        <f>O35*(H35+G35)*2</f>
        <v>200000</v>
      </c>
      <c r="Q35" s="1124">
        <f t="shared" si="23"/>
        <v>3325150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3325150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>
        <v>10</v>
      </c>
      <c r="H36" s="1129"/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2522632.0000000005</v>
      </c>
      <c r="T36" s="1132">
        <v>28000</v>
      </c>
      <c r="U36" s="1131">
        <f>T36*F36*(G36+H36)</f>
        <v>1960000</v>
      </c>
      <c r="V36" s="1132">
        <v>1889</v>
      </c>
      <c r="W36" s="1131">
        <f t="shared" si="24"/>
        <v>132230</v>
      </c>
      <c r="X36" s="1130">
        <v>685846</v>
      </c>
      <c r="Y36" s="1131">
        <f>X36*(G36+H36)</f>
        <v>6858460</v>
      </c>
      <c r="Z36" s="1130">
        <f>80*$AB$5*(G36+H36)</f>
        <v>391048</v>
      </c>
      <c r="AA36" s="1135">
        <f t="shared" si="25"/>
        <v>11864370</v>
      </c>
      <c r="AB36" s="1149">
        <f t="shared" si="26"/>
        <v>11864370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5280000</v>
      </c>
      <c r="K37" s="1152"/>
      <c r="L37" s="1152">
        <f>SUM(L31:L36)</f>
        <v>4541900</v>
      </c>
      <c r="M37" s="1152"/>
      <c r="N37" s="1152">
        <f>SUM(N31:N36)</f>
        <v>0</v>
      </c>
      <c r="O37" s="1152"/>
      <c r="P37" s="1152">
        <f>SUM(P31:P36)</f>
        <v>600000</v>
      </c>
      <c r="Q37" s="1152">
        <f>SUM(Q31:Q36)</f>
        <v>10421900</v>
      </c>
      <c r="R37" s="1152"/>
      <c r="S37" s="1152">
        <f>SUM(S31:S36)</f>
        <v>6847144.0000000019</v>
      </c>
      <c r="T37" s="1152"/>
      <c r="U37" s="1152">
        <f>SUM(U31:U36)</f>
        <v>5320000</v>
      </c>
      <c r="V37" s="1152"/>
      <c r="W37" s="1152">
        <f>SUM(W31:W36)</f>
        <v>307310</v>
      </c>
      <c r="X37" s="1152"/>
      <c r="Y37" s="1152">
        <f>SUM(Y31:Y36)</f>
        <v>18753690</v>
      </c>
      <c r="Z37" s="1152">
        <f>SUM(Z31:Z36)</f>
        <v>782096</v>
      </c>
      <c r="AA37" s="1152">
        <f>SUM(AA31:AA36)</f>
        <v>32010240</v>
      </c>
      <c r="AB37" s="1152">
        <f>SUM(AB31:AB36)</f>
        <v>42432140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>
        <v>10</v>
      </c>
      <c r="H39" s="1157"/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2162256.0000000005</v>
      </c>
      <c r="T39" s="1132">
        <v>28000</v>
      </c>
      <c r="U39" s="1131">
        <f>T39*F39*(G39+H39)</f>
        <v>1680000</v>
      </c>
      <c r="V39" s="1130">
        <v>657</v>
      </c>
      <c r="W39" s="1131">
        <f t="shared" ref="W39:W43" si="31">V39*(G39+H39)*F39</f>
        <v>39420</v>
      </c>
      <c r="X39" s="1132">
        <v>366914</v>
      </c>
      <c r="Y39" s="1131">
        <f>X39*(G39+H39)</f>
        <v>3669140</v>
      </c>
      <c r="Z39" s="1130"/>
      <c r="AA39" s="1135">
        <f t="shared" ref="AA39:AA43" si="32">S39+U39+W39+Y39+Z39</f>
        <v>7550816</v>
      </c>
      <c r="AB39" s="1135">
        <f>AA39+Q39</f>
        <v>7550816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>
        <v>10</v>
      </c>
      <c r="H40" s="1157"/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2162256.0000000005</v>
      </c>
      <c r="T40" s="1132">
        <v>28000</v>
      </c>
      <c r="U40" s="1131">
        <f>T40*F40*(G40+H40)</f>
        <v>1680000</v>
      </c>
      <c r="V40" s="1130">
        <v>1889</v>
      </c>
      <c r="W40" s="1131">
        <f t="shared" si="31"/>
        <v>113340</v>
      </c>
      <c r="X40" s="1130">
        <v>685846</v>
      </c>
      <c r="Y40" s="1131">
        <f>X40*(G40+H40)</f>
        <v>6858460</v>
      </c>
      <c r="Z40" s="1130">
        <f>80*$AB$5*(G40+H40)</f>
        <v>391048</v>
      </c>
      <c r="AA40" s="1135">
        <f t="shared" si="32"/>
        <v>11205104</v>
      </c>
      <c r="AB40" s="1135">
        <f t="shared" ref="AB40:AB43" si="33">AA40+Q40</f>
        <v>11205104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>
        <v>12</v>
      </c>
      <c r="H41" s="1157"/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4324512.0000000009</v>
      </c>
      <c r="T41" s="1132">
        <v>28000</v>
      </c>
      <c r="U41" s="1138">
        <f>T41*F41*(G41+H41)</f>
        <v>3360000</v>
      </c>
      <c r="V41" s="1138">
        <v>657</v>
      </c>
      <c r="W41" s="1138">
        <f t="shared" si="31"/>
        <v>78840</v>
      </c>
      <c r="X41" s="1130">
        <v>305578</v>
      </c>
      <c r="Y41" s="1138">
        <f>X41*(G41+H41)</f>
        <v>3666936</v>
      </c>
      <c r="Z41" s="1138"/>
      <c r="AA41" s="1135">
        <f t="shared" si="32"/>
        <v>11430288</v>
      </c>
      <c r="AB41" s="1135">
        <f t="shared" si="33"/>
        <v>11430288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>
        <v>10</v>
      </c>
      <c r="H42" s="1157"/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2162256.0000000005</v>
      </c>
      <c r="T42" s="1132">
        <v>28000</v>
      </c>
      <c r="U42" s="1131">
        <f>T42*F42*(G42+H42)</f>
        <v>1680000</v>
      </c>
      <c r="V42" s="1130">
        <v>1889</v>
      </c>
      <c r="W42" s="1131">
        <f t="shared" si="31"/>
        <v>113340</v>
      </c>
      <c r="X42" s="1130">
        <v>475984</v>
      </c>
      <c r="Y42" s="1131">
        <f>X42*(G42+H42)</f>
        <v>4759840</v>
      </c>
      <c r="Z42" s="1130">
        <f>80*$AB$5*(G42+H42)</f>
        <v>391048</v>
      </c>
      <c r="AA42" s="1135">
        <f t="shared" si="32"/>
        <v>9106484</v>
      </c>
      <c r="AB42" s="1135">
        <f t="shared" si="33"/>
        <v>9106484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>
        <v>12</v>
      </c>
      <c r="H43" s="1157"/>
      <c r="I43" s="1127">
        <v>12000</v>
      </c>
      <c r="J43" s="1137">
        <f t="shared" ref="J43" si="34">(G43+H43)*I43*F43</f>
        <v>2016000</v>
      </c>
      <c r="K43" s="1149">
        <f>2.5*4129</f>
        <v>10322.5</v>
      </c>
      <c r="L43" s="1131">
        <f t="shared" ref="L43" si="35">K43*F43*G43</f>
        <v>1734180</v>
      </c>
      <c r="M43" s="1138">
        <f>2*4129</f>
        <v>8258</v>
      </c>
      <c r="N43" s="1138">
        <f t="shared" ref="N43" si="36">M43*H43*F43</f>
        <v>0</v>
      </c>
      <c r="O43" s="1138">
        <v>10000</v>
      </c>
      <c r="P43" s="1124">
        <f>O43*(H43+G43)*2</f>
        <v>240000</v>
      </c>
      <c r="Q43" s="1124">
        <f t="shared" si="30"/>
        <v>3990180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3990180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2016000</v>
      </c>
      <c r="K44" s="1145"/>
      <c r="L44" s="1145">
        <f>SUM(L39:L43)</f>
        <v>1734180</v>
      </c>
      <c r="M44" s="1145"/>
      <c r="N44" s="1145">
        <f>SUM(N39:N43)</f>
        <v>0</v>
      </c>
      <c r="O44" s="1213"/>
      <c r="P44" s="1145">
        <f>SUM(P39:P43)</f>
        <v>240000</v>
      </c>
      <c r="Q44" s="1145">
        <f>SUM(Q39:Q43)</f>
        <v>3990180</v>
      </c>
      <c r="R44" s="1213"/>
      <c r="S44" s="1145">
        <f>SUM(S39:S43)</f>
        <v>10811280.000000002</v>
      </c>
      <c r="T44" s="1213"/>
      <c r="U44" s="1145">
        <f>SUM(U39:U43)</f>
        <v>8400000</v>
      </c>
      <c r="V44" s="1213"/>
      <c r="W44" s="1145">
        <f>SUM(W39:W43)</f>
        <v>344940</v>
      </c>
      <c r="X44" s="1213"/>
      <c r="Y44" s="1145">
        <f>SUM(Y39:Y43)</f>
        <v>18954376</v>
      </c>
      <c r="Z44" s="1145">
        <f>SUM(Z39:Z43)</f>
        <v>782096</v>
      </c>
      <c r="AA44" s="1145">
        <f>SUM(AA39:AA43)</f>
        <v>39292692</v>
      </c>
      <c r="AB44" s="1145">
        <f>SUM(AB39:AB43)</f>
        <v>43282872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>
        <v>10</v>
      </c>
      <c r="H46" s="1159"/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2162256.0000000005</v>
      </c>
      <c r="T46" s="1132">
        <v>28000</v>
      </c>
      <c r="U46" s="1131">
        <f>T46*F46*(G46+H46)</f>
        <v>1680000</v>
      </c>
      <c r="V46" s="1130">
        <v>1889</v>
      </c>
      <c r="W46" s="1131">
        <f t="shared" ref="W46:W49" si="37">V46*(G46+H46)*F46</f>
        <v>113340</v>
      </c>
      <c r="X46" s="1130">
        <v>475984</v>
      </c>
      <c r="Y46" s="1131">
        <f>X46*(G46+H46)</f>
        <v>4759840</v>
      </c>
      <c r="Z46" s="1130">
        <f>80*$AB$5*(G46+H46)</f>
        <v>391048</v>
      </c>
      <c r="AA46" s="1135">
        <f t="shared" ref="AA46:AA49" si="38">S46+U46+W46+Y46+Z46</f>
        <v>9106484</v>
      </c>
      <c r="AB46" s="1135">
        <f>AA46+Q46</f>
        <v>9106484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>
        <v>10</v>
      </c>
      <c r="H47" s="1159"/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2162256.0000000005</v>
      </c>
      <c r="T47" s="1132">
        <v>28000</v>
      </c>
      <c r="U47" s="1131">
        <f>T47*F47*(G47+H47)</f>
        <v>1680000</v>
      </c>
      <c r="V47" s="1130">
        <v>1889</v>
      </c>
      <c r="W47" s="1131">
        <f t="shared" si="37"/>
        <v>113340</v>
      </c>
      <c r="X47" s="1130">
        <v>685846</v>
      </c>
      <c r="Y47" s="1131">
        <f>X47*(G47+H47)</f>
        <v>6858460</v>
      </c>
      <c r="Z47" s="1130">
        <f>80*$AB$5*(G47+H47)</f>
        <v>391048</v>
      </c>
      <c r="AA47" s="1135">
        <f t="shared" si="38"/>
        <v>11205104</v>
      </c>
      <c r="AB47" s="1135">
        <f>AA47+Q47</f>
        <v>11205104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>
        <v>12</v>
      </c>
      <c r="H48" s="1159"/>
      <c r="I48" s="1127">
        <v>12000</v>
      </c>
      <c r="J48" s="1137">
        <f>(G48+H48)*I48*F48</f>
        <v>2016000</v>
      </c>
      <c r="K48" s="1149">
        <f>2.5*4129</f>
        <v>10322.5</v>
      </c>
      <c r="L48" s="1131">
        <f>K48*F48*G48</f>
        <v>1734180</v>
      </c>
      <c r="M48" s="1138">
        <f>2*4129</f>
        <v>8258</v>
      </c>
      <c r="N48" s="1138">
        <f>M48*H48*F48</f>
        <v>0</v>
      </c>
      <c r="O48" s="1138">
        <v>10000</v>
      </c>
      <c r="P48" s="1124">
        <f>O48*(H48+G48)*2</f>
        <v>240000</v>
      </c>
      <c r="Q48" s="1124">
        <f t="shared" si="39"/>
        <v>3990180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3990180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>
        <v>12</v>
      </c>
      <c r="H49" s="1159"/>
      <c r="I49" s="1127">
        <v>12000</v>
      </c>
      <c r="J49" s="1137">
        <f>(G49+H49)*I49*F49</f>
        <v>2016000</v>
      </c>
      <c r="K49" s="1149">
        <f>2.5*4129</f>
        <v>10322.5</v>
      </c>
      <c r="L49" s="1131">
        <f>K49*F49*G49</f>
        <v>1734180</v>
      </c>
      <c r="M49" s="1138">
        <f>2*4129</f>
        <v>8258</v>
      </c>
      <c r="N49" s="1138">
        <f>M49*H49*F49</f>
        <v>0</v>
      </c>
      <c r="O49" s="1138">
        <v>10000</v>
      </c>
      <c r="P49" s="1124">
        <f>O49*(H49+G49)*2</f>
        <v>240000</v>
      </c>
      <c r="Q49" s="1124">
        <f t="shared" si="39"/>
        <v>3990180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3990180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4032000</v>
      </c>
      <c r="K50" s="1163"/>
      <c r="L50" s="1162">
        <f>SUM(L46:L49)</f>
        <v>3468360</v>
      </c>
      <c r="M50" s="1163"/>
      <c r="N50" s="1162">
        <f>SUM(N46:N49)</f>
        <v>0</v>
      </c>
      <c r="O50" s="1163"/>
      <c r="P50" s="1162">
        <f>SUM(P46:P49)</f>
        <v>480000</v>
      </c>
      <c r="Q50" s="1162">
        <f>SUM(Q46:Q49)</f>
        <v>7980360</v>
      </c>
      <c r="R50" s="1164"/>
      <c r="S50" s="1162">
        <f>SUM(S46:S49)</f>
        <v>4324512.0000000009</v>
      </c>
      <c r="T50" s="1164"/>
      <c r="U50" s="1162">
        <f>SUM(U46:U49)</f>
        <v>3360000</v>
      </c>
      <c r="V50" s="1164"/>
      <c r="W50" s="1162">
        <f>SUM(W46:W49)</f>
        <v>226680</v>
      </c>
      <c r="X50" s="1164"/>
      <c r="Y50" s="1162">
        <f>SUM(Y46:Y49)</f>
        <v>11618300</v>
      </c>
      <c r="Z50" s="1162">
        <f>SUM(Z46:Z49)</f>
        <v>782096</v>
      </c>
      <c r="AA50" s="1162">
        <f>SUM(AA46:AA49)</f>
        <v>20311588</v>
      </c>
      <c r="AB50" s="1162">
        <f>SUM(AB46:AB49)</f>
        <v>28291948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1441</v>
      </c>
      <c r="F52" s="1166">
        <v>10</v>
      </c>
      <c r="G52" s="1166">
        <v>6</v>
      </c>
      <c r="H52" s="1149"/>
      <c r="I52" s="1127">
        <v>12000</v>
      </c>
      <c r="J52" s="1137">
        <f t="shared" ref="J52" si="40">(G52+H52)*I52*F52</f>
        <v>720000</v>
      </c>
      <c r="K52" s="1149">
        <f>2.5*4129</f>
        <v>10322.5</v>
      </c>
      <c r="L52" s="1131">
        <f t="shared" ref="L52" si="41">K52*F52*G52</f>
        <v>619350</v>
      </c>
      <c r="M52" s="1138">
        <f>2*4129</f>
        <v>8258</v>
      </c>
      <c r="N52" s="1138">
        <f t="shared" ref="N52" si="42">M52*H52*F52</f>
        <v>0</v>
      </c>
      <c r="O52" s="1133">
        <v>10000</v>
      </c>
      <c r="P52" s="1124">
        <f>O52*(H52+G52)*2</f>
        <v>120000</v>
      </c>
      <c r="Q52" s="1138">
        <f t="shared" ref="Q52:Q56" si="43">SUM(J52+L52+N52+P52)</f>
        <v>1459350</v>
      </c>
      <c r="R52" s="1166"/>
      <c r="S52" s="1149"/>
      <c r="T52" s="1166"/>
      <c r="U52" s="1149"/>
      <c r="V52" s="1133"/>
      <c r="W52" s="1133">
        <f t="shared" ref="W52:W56" si="44">V52*(G52+H52)*F52</f>
        <v>0</v>
      </c>
      <c r="X52" s="1133"/>
      <c r="Y52" s="1133"/>
      <c r="Z52" s="1133"/>
      <c r="AA52" s="1149">
        <f t="shared" ref="AA52:AA56" si="45">S52+U52+W52+Y52+Z52</f>
        <v>0</v>
      </c>
      <c r="AB52" s="1149">
        <f t="shared" ref="AB52:AB56" si="46">AA52+Q52</f>
        <v>1459350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>
        <v>6</v>
      </c>
      <c r="H53" s="1149"/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1513579.2000000002</v>
      </c>
      <c r="T53" s="1132">
        <v>28000</v>
      </c>
      <c r="U53" s="1149">
        <f>T53*F53*(G53+H53)</f>
        <v>1176000</v>
      </c>
      <c r="V53" s="1133">
        <v>1889</v>
      </c>
      <c r="W53" s="1133">
        <f t="shared" si="44"/>
        <v>79338</v>
      </c>
      <c r="X53" s="1133">
        <v>805167</v>
      </c>
      <c r="Y53" s="1133">
        <f>X53*(G53+H53)</f>
        <v>4831002</v>
      </c>
      <c r="Z53" s="1130">
        <f>80*$AB$5*(G53+H53)</f>
        <v>234628.80000000002</v>
      </c>
      <c r="AA53" s="1149">
        <f t="shared" si="45"/>
        <v>7834548</v>
      </c>
      <c r="AB53" s="1149">
        <f t="shared" si="46"/>
        <v>7834548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1441</v>
      </c>
      <c r="F54" s="1166">
        <v>10</v>
      </c>
      <c r="G54" s="1167">
        <v>8</v>
      </c>
      <c r="H54" s="1149"/>
      <c r="I54" s="1127">
        <v>12000</v>
      </c>
      <c r="J54" s="1149">
        <f t="shared" ref="J54" si="47">(G54+H54)*I54*F54</f>
        <v>960000</v>
      </c>
      <c r="K54" s="1149">
        <f>2.5*4129</f>
        <v>10322.5</v>
      </c>
      <c r="L54" s="1149">
        <f t="shared" ref="L54" si="48">K54*F54*G54</f>
        <v>825800</v>
      </c>
      <c r="M54" s="1149">
        <f>2*4129</f>
        <v>8258</v>
      </c>
      <c r="N54" s="1149">
        <f t="shared" ref="N54" si="49">M54*H54*F54</f>
        <v>0</v>
      </c>
      <c r="O54" s="1133">
        <v>10000</v>
      </c>
      <c r="P54" s="1124">
        <f>O54*(H54+G54)*2</f>
        <v>160000</v>
      </c>
      <c r="Q54" s="1149">
        <f t="shared" si="43"/>
        <v>1945800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1945800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>
        <v>8</v>
      </c>
      <c r="H55" s="1149"/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2018105.6000000003</v>
      </c>
      <c r="T55" s="1132">
        <v>26000</v>
      </c>
      <c r="U55" s="1149">
        <f>T55*F55*(G55+H55)</f>
        <v>1456000</v>
      </c>
      <c r="V55" s="1133">
        <v>1889</v>
      </c>
      <c r="W55" s="1133">
        <f t="shared" si="44"/>
        <v>105784</v>
      </c>
      <c r="X55" s="1133">
        <v>646916</v>
      </c>
      <c r="Y55" s="1133">
        <f>X55*(G55+H55)</f>
        <v>5175328</v>
      </c>
      <c r="Z55" s="1130">
        <f>80*$AB$5*(G55+H55)</f>
        <v>312838.40000000002</v>
      </c>
      <c r="AA55" s="1149">
        <f t="shared" si="45"/>
        <v>9068056.0000000019</v>
      </c>
      <c r="AB55" s="1149">
        <f t="shared" si="46"/>
        <v>9068056.0000000019</v>
      </c>
    </row>
    <row r="56" spans="1:29" ht="37.5">
      <c r="A56" s="1165">
        <v>34</v>
      </c>
      <c r="B56" s="1129">
        <v>5</v>
      </c>
      <c r="C56" s="1136" t="s">
        <v>383</v>
      </c>
      <c r="D56" s="1132" t="s">
        <v>1372</v>
      </c>
      <c r="E56" s="1132" t="s">
        <v>1373</v>
      </c>
      <c r="F56" s="1166">
        <v>7</v>
      </c>
      <c r="G56" s="1166">
        <v>6</v>
      </c>
      <c r="H56" s="1149"/>
      <c r="I56" s="1149"/>
      <c r="J56" s="1137"/>
      <c r="K56" s="1149"/>
      <c r="L56" s="1131"/>
      <c r="M56" s="1138"/>
      <c r="N56" s="1138"/>
      <c r="O56" s="1133"/>
      <c r="P56" s="1124"/>
      <c r="Q56" s="1138">
        <f t="shared" si="43"/>
        <v>0</v>
      </c>
      <c r="R56" s="1130">
        <f>80*$AB$4</f>
        <v>36037.600000000006</v>
      </c>
      <c r="S56" s="1149">
        <f>R56*F56*(G56+H56)</f>
        <v>1513579.2000000002</v>
      </c>
      <c r="T56" s="1132">
        <v>26000</v>
      </c>
      <c r="U56" s="1149">
        <f>T56*F56*(G56+H56)</f>
        <v>1092000</v>
      </c>
      <c r="V56" s="1133">
        <v>657</v>
      </c>
      <c r="W56" s="1133">
        <f t="shared" si="44"/>
        <v>27594</v>
      </c>
      <c r="X56" s="1133">
        <v>267695</v>
      </c>
      <c r="Y56" s="1133">
        <f>X56*(G56+H56)</f>
        <v>1606170</v>
      </c>
      <c r="Z56" s="1133"/>
      <c r="AA56" s="1149">
        <f t="shared" si="45"/>
        <v>4239343.2</v>
      </c>
      <c r="AB56" s="1149">
        <f t="shared" si="46"/>
        <v>4239343.2</v>
      </c>
    </row>
    <row r="57" spans="1:29">
      <c r="A57" s="1807" t="s">
        <v>38</v>
      </c>
      <c r="B57" s="1807"/>
      <c r="C57" s="1807"/>
      <c r="D57" s="1807"/>
      <c r="E57" s="1807"/>
      <c r="F57" s="1807"/>
      <c r="G57" s="1807"/>
      <c r="H57" s="1807"/>
      <c r="I57" s="1168"/>
      <c r="J57" s="1169">
        <f>SUM(J52:J56)</f>
        <v>1680000</v>
      </c>
      <c r="K57" s="1169"/>
      <c r="L57" s="1169">
        <f>SUM(L52:L56)</f>
        <v>1445150</v>
      </c>
      <c r="M57" s="1169"/>
      <c r="N57" s="1169">
        <f>SUM(N52:N56)</f>
        <v>0</v>
      </c>
      <c r="O57" s="1170"/>
      <c r="P57" s="1169">
        <f>SUM(P52:P56)</f>
        <v>280000</v>
      </c>
      <c r="Q57" s="1169">
        <f>SUM(Q52:Q56)</f>
        <v>3405150</v>
      </c>
      <c r="R57" s="1171"/>
      <c r="S57" s="1169">
        <f>SUM(S52:S56)</f>
        <v>5045264.0000000009</v>
      </c>
      <c r="T57" s="1171"/>
      <c r="U57" s="1169">
        <f>SUM(U52:U56)</f>
        <v>3724000</v>
      </c>
      <c r="V57" s="1170"/>
      <c r="W57" s="1169">
        <f>SUM(W52:W56)</f>
        <v>212716</v>
      </c>
      <c r="X57" s="1170"/>
      <c r="Y57" s="1169">
        <f>SUM(Y52:Y56)</f>
        <v>11612500</v>
      </c>
      <c r="Z57" s="1169">
        <f>SUM(Z52:Z56)</f>
        <v>547467.20000000007</v>
      </c>
      <c r="AA57" s="1169">
        <f>SUM(AA52:AA56)</f>
        <v>21141947.199999999</v>
      </c>
      <c r="AB57" s="1169">
        <f>SUM(AB52:AB56)</f>
        <v>24547097.199999999</v>
      </c>
      <c r="AC57" s="1120">
        <f>AB57-AA57-Q57</f>
        <v>0</v>
      </c>
    </row>
    <row r="58" spans="1:29">
      <c r="A58" s="1818" t="s">
        <v>1156</v>
      </c>
      <c r="B58" s="1818"/>
      <c r="C58" s="1818"/>
      <c r="D58" s="1818"/>
      <c r="E58" s="1818"/>
      <c r="F58" s="1818"/>
      <c r="G58" s="1818"/>
      <c r="H58" s="1818"/>
      <c r="I58" s="1818"/>
      <c r="J58" s="1818"/>
      <c r="K58" s="1818"/>
      <c r="L58" s="1818"/>
      <c r="M58" s="1818"/>
      <c r="N58" s="1818"/>
      <c r="O58" s="1818"/>
      <c r="P58" s="1818"/>
      <c r="Q58" s="1818"/>
      <c r="R58" s="1818"/>
      <c r="S58" s="1818"/>
      <c r="T58" s="1818"/>
      <c r="U58" s="1818"/>
      <c r="V58" s="1818"/>
      <c r="W58" s="1818"/>
      <c r="X58" s="1818"/>
      <c r="Y58" s="1818"/>
      <c r="Z58" s="1818"/>
      <c r="AA58" s="1818"/>
      <c r="AB58" s="1818"/>
    </row>
    <row r="59" spans="1:29" ht="140.25" customHeight="1">
      <c r="A59" s="1165">
        <v>35</v>
      </c>
      <c r="B59" s="1129">
        <v>1</v>
      </c>
      <c r="C59" s="1158" t="s">
        <v>1338</v>
      </c>
      <c r="D59" s="1132" t="s">
        <v>1339</v>
      </c>
      <c r="E59" s="1132" t="s">
        <v>1441</v>
      </c>
      <c r="F59" s="1166">
        <v>15</v>
      </c>
      <c r="G59" s="1166">
        <v>7</v>
      </c>
      <c r="H59" s="1149"/>
      <c r="I59" s="1127">
        <v>12000</v>
      </c>
      <c r="J59" s="1137">
        <f t="shared" ref="J59:J60" si="50">(G59+H59)*I59*F59</f>
        <v>1260000</v>
      </c>
      <c r="K59" s="1149">
        <f>2.5*4129</f>
        <v>10322.5</v>
      </c>
      <c r="L59" s="1131">
        <f t="shared" ref="L59:L60" si="51">K59*F59*G59</f>
        <v>1083862.5</v>
      </c>
      <c r="M59" s="1138">
        <f>2*4129</f>
        <v>8258</v>
      </c>
      <c r="N59" s="1138">
        <f t="shared" ref="N59:N60" si="52">M59*H59*F59</f>
        <v>0</v>
      </c>
      <c r="O59" s="1133">
        <v>10000</v>
      </c>
      <c r="P59" s="1124">
        <f>O59*(H59+G59)*2</f>
        <v>140000</v>
      </c>
      <c r="Q59" s="1138">
        <f t="shared" ref="Q59:Q63" si="53">SUM(J59+L59+N59+P59)</f>
        <v>2483862.5</v>
      </c>
      <c r="R59" s="1166"/>
      <c r="S59" s="1149"/>
      <c r="T59" s="1166"/>
      <c r="U59" s="1149"/>
      <c r="V59" s="1133"/>
      <c r="W59" s="1133">
        <f t="shared" ref="W59:W63" si="54">V59*(G59+H59)*F59</f>
        <v>0</v>
      </c>
      <c r="X59" s="1133"/>
      <c r="Y59" s="1133"/>
      <c r="Z59" s="1133"/>
      <c r="AA59" s="1149">
        <f t="shared" ref="AA59:AA63" si="55">S59+U59+W59+Y59+Z59</f>
        <v>0</v>
      </c>
      <c r="AB59" s="1149">
        <f t="shared" ref="AB59:AB63" si="56">AA59+Q59</f>
        <v>2483862.5</v>
      </c>
    </row>
    <row r="60" spans="1:29" ht="144.75" customHeight="1">
      <c r="A60" s="1165">
        <v>36</v>
      </c>
      <c r="B60" s="1129">
        <v>2</v>
      </c>
      <c r="C60" s="1158" t="s">
        <v>1106</v>
      </c>
      <c r="D60" s="1132" t="s">
        <v>1312</v>
      </c>
      <c r="E60" s="1132" t="s">
        <v>1441</v>
      </c>
      <c r="F60" s="1166">
        <v>10</v>
      </c>
      <c r="G60" s="1166">
        <v>7</v>
      </c>
      <c r="H60" s="1149"/>
      <c r="I60" s="1127">
        <v>12000</v>
      </c>
      <c r="J60" s="1137">
        <f t="shared" si="50"/>
        <v>840000</v>
      </c>
      <c r="K60" s="1149">
        <f>2.5*4129</f>
        <v>10322.5</v>
      </c>
      <c r="L60" s="1131">
        <f t="shared" si="51"/>
        <v>722575</v>
      </c>
      <c r="M60" s="1138">
        <f>2*4129</f>
        <v>8258</v>
      </c>
      <c r="N60" s="1138">
        <f t="shared" si="52"/>
        <v>0</v>
      </c>
      <c r="O60" s="1133">
        <v>10000</v>
      </c>
      <c r="P60" s="1124">
        <f>O60*(H60+G60)*2</f>
        <v>140000</v>
      </c>
      <c r="Q60" s="1138">
        <f t="shared" si="53"/>
        <v>1702575</v>
      </c>
      <c r="R60" s="1166"/>
      <c r="S60" s="1149"/>
      <c r="T60" s="1166"/>
      <c r="U60" s="1149"/>
      <c r="V60" s="1133"/>
      <c r="W60" s="1133">
        <f t="shared" si="54"/>
        <v>0</v>
      </c>
      <c r="X60" s="1133"/>
      <c r="Y60" s="1133"/>
      <c r="Z60" s="1133"/>
      <c r="AA60" s="1149">
        <f t="shared" si="55"/>
        <v>0</v>
      </c>
      <c r="AB60" s="1149">
        <f t="shared" si="56"/>
        <v>1702575</v>
      </c>
    </row>
    <row r="61" spans="1:29" ht="37.5">
      <c r="A61" s="1165">
        <v>37</v>
      </c>
      <c r="B61" s="1129">
        <v>3</v>
      </c>
      <c r="C61" s="1156" t="s">
        <v>383</v>
      </c>
      <c r="D61" s="1132" t="s">
        <v>1340</v>
      </c>
      <c r="E61" s="1132" t="s">
        <v>953</v>
      </c>
      <c r="F61" s="1166">
        <v>7</v>
      </c>
      <c r="G61" s="1166">
        <v>6</v>
      </c>
      <c r="H61" s="1172"/>
      <c r="I61" s="1149"/>
      <c r="J61" s="1149"/>
      <c r="K61" s="1149"/>
      <c r="L61" s="1149"/>
      <c r="M61" s="1149"/>
      <c r="N61" s="1149"/>
      <c r="O61" s="1133"/>
      <c r="P61" s="1133"/>
      <c r="Q61" s="1149">
        <f t="shared" si="53"/>
        <v>0</v>
      </c>
      <c r="R61" s="1130">
        <f>80*$AB$4</f>
        <v>36037.600000000006</v>
      </c>
      <c r="S61" s="1127">
        <f>R61*F61*(G61+H61)</f>
        <v>1513579.2000000002</v>
      </c>
      <c r="T61" s="1132">
        <v>26000</v>
      </c>
      <c r="U61" s="1131">
        <f>T61*F61*(G61+H61)</f>
        <v>1092000</v>
      </c>
      <c r="V61" s="1133">
        <v>1889</v>
      </c>
      <c r="W61" s="1131">
        <f t="shared" si="54"/>
        <v>79338</v>
      </c>
      <c r="X61" s="1133">
        <v>442311</v>
      </c>
      <c r="Y61" s="1131">
        <f>X61*(G61+H61)</f>
        <v>2653866</v>
      </c>
      <c r="Z61" s="1130">
        <f>80*$AB$5*(G61+H61)</f>
        <v>234628.80000000002</v>
      </c>
      <c r="AA61" s="1135">
        <f t="shared" si="55"/>
        <v>5573412</v>
      </c>
      <c r="AB61" s="1149">
        <f t="shared" si="56"/>
        <v>5573412</v>
      </c>
    </row>
    <row r="62" spans="1:29" ht="146.25" customHeight="1">
      <c r="A62" s="1165">
        <v>38</v>
      </c>
      <c r="B62" s="1129">
        <v>4</v>
      </c>
      <c r="C62" s="1158" t="s">
        <v>1106</v>
      </c>
      <c r="D62" s="1132" t="s">
        <v>1341</v>
      </c>
      <c r="E62" s="1132" t="s">
        <v>1441</v>
      </c>
      <c r="F62" s="1166">
        <v>9</v>
      </c>
      <c r="G62" s="1166">
        <v>7</v>
      </c>
      <c r="H62" s="1149"/>
      <c r="I62" s="1127">
        <v>12000</v>
      </c>
      <c r="J62" s="1137">
        <f t="shared" ref="J62" si="57">(G62+H62)*I62*F62</f>
        <v>756000</v>
      </c>
      <c r="K62" s="1149">
        <f>2.5*4129</f>
        <v>10322.5</v>
      </c>
      <c r="L62" s="1131">
        <f t="shared" ref="L62" si="58">K62*F62*G62</f>
        <v>650317.5</v>
      </c>
      <c r="M62" s="1138">
        <f>2*4129</f>
        <v>8258</v>
      </c>
      <c r="N62" s="1138">
        <f t="shared" ref="N62" si="59">M62*H62*F62</f>
        <v>0</v>
      </c>
      <c r="O62" s="1133">
        <v>10000</v>
      </c>
      <c r="P62" s="1124">
        <f>O62*(H62+G62)*2</f>
        <v>140000</v>
      </c>
      <c r="Q62" s="1138">
        <f t="shared" si="53"/>
        <v>1546317.5</v>
      </c>
      <c r="R62" s="1166"/>
      <c r="S62" s="1149"/>
      <c r="T62" s="1166"/>
      <c r="U62" s="1149"/>
      <c r="V62" s="1133"/>
      <c r="W62" s="1133">
        <f t="shared" si="54"/>
        <v>0</v>
      </c>
      <c r="X62" s="1133"/>
      <c r="Y62" s="1133"/>
      <c r="Z62" s="1133"/>
      <c r="AA62" s="1149">
        <f t="shared" si="55"/>
        <v>0</v>
      </c>
      <c r="AB62" s="1149">
        <f t="shared" si="56"/>
        <v>1546317.5</v>
      </c>
    </row>
    <row r="63" spans="1:29" ht="37.5">
      <c r="A63" s="1165">
        <v>39</v>
      </c>
      <c r="B63" s="1129">
        <v>5</v>
      </c>
      <c r="C63" s="1156" t="s">
        <v>383</v>
      </c>
      <c r="D63" s="1132" t="s">
        <v>386</v>
      </c>
      <c r="E63" s="1132" t="s">
        <v>927</v>
      </c>
      <c r="F63" s="1166">
        <v>7</v>
      </c>
      <c r="G63" s="1166">
        <v>6</v>
      </c>
      <c r="H63" s="1149"/>
      <c r="I63" s="1149"/>
      <c r="J63" s="1137"/>
      <c r="K63" s="1149"/>
      <c r="L63" s="1131"/>
      <c r="M63" s="1138"/>
      <c r="N63" s="1138"/>
      <c r="O63" s="1133"/>
      <c r="P63" s="1124"/>
      <c r="Q63" s="1138">
        <f t="shared" si="53"/>
        <v>0</v>
      </c>
      <c r="R63" s="1130">
        <f>80*$AB$4</f>
        <v>36037.600000000006</v>
      </c>
      <c r="S63" s="1149">
        <f>R63*F63*(G63+H63)</f>
        <v>1513579.2000000002</v>
      </c>
      <c r="T63" s="1132">
        <v>26000</v>
      </c>
      <c r="U63" s="1149">
        <f>T63*F63*(G63+H63)</f>
        <v>1092000</v>
      </c>
      <c r="V63" s="1133">
        <v>1889</v>
      </c>
      <c r="W63" s="1133">
        <f t="shared" si="54"/>
        <v>79338</v>
      </c>
      <c r="X63" s="1133">
        <v>646412</v>
      </c>
      <c r="Y63" s="1133">
        <f>X63*(G63+H63)</f>
        <v>3878472</v>
      </c>
      <c r="Z63" s="1130">
        <f>80*$AB$5*(G63+H63)</f>
        <v>234628.80000000002</v>
      </c>
      <c r="AA63" s="1149">
        <f t="shared" si="55"/>
        <v>6798018</v>
      </c>
      <c r="AB63" s="1149">
        <f t="shared" si="56"/>
        <v>6798018</v>
      </c>
    </row>
    <row r="64" spans="1:29">
      <c r="A64" s="1796"/>
      <c r="B64" s="1797"/>
      <c r="C64" s="1797"/>
      <c r="D64" s="1797"/>
      <c r="E64" s="1797"/>
      <c r="F64" s="1797"/>
      <c r="G64" s="1797"/>
      <c r="H64" s="1798"/>
      <c r="I64" s="1145"/>
      <c r="J64" s="1145">
        <f>SUM(J59:J63)</f>
        <v>2856000</v>
      </c>
      <c r="K64" s="1145"/>
      <c r="L64" s="1145">
        <f>SUM(L59:L63)</f>
        <v>2456755</v>
      </c>
      <c r="M64" s="1145"/>
      <c r="N64" s="1145">
        <f>SUM(N59:N63)</f>
        <v>0</v>
      </c>
      <c r="O64" s="1213"/>
      <c r="P64" s="1145">
        <f>SUM(P59:P63)</f>
        <v>420000</v>
      </c>
      <c r="Q64" s="1145">
        <f>SUM(Q59:Q63)</f>
        <v>5732755</v>
      </c>
      <c r="R64" s="1213"/>
      <c r="S64" s="1145">
        <f>SUM(S59:S63)</f>
        <v>3027158.4000000004</v>
      </c>
      <c r="T64" s="1213"/>
      <c r="U64" s="1145">
        <f>SUM(U59:U63)</f>
        <v>2184000</v>
      </c>
      <c r="V64" s="1213"/>
      <c r="W64" s="1145">
        <f>SUM(W59:W63)</f>
        <v>158676</v>
      </c>
      <c r="X64" s="1213"/>
      <c r="Y64" s="1145">
        <f>SUM(Y59:Y63)</f>
        <v>6532338</v>
      </c>
      <c r="Z64" s="1145">
        <f>SUM(Z59:Z63)</f>
        <v>469257.60000000003</v>
      </c>
      <c r="AA64" s="1145">
        <f>SUM(AA59:AA63)</f>
        <v>12371430</v>
      </c>
      <c r="AB64" s="1145">
        <f>SUM(AB59:AB63)</f>
        <v>18104185</v>
      </c>
      <c r="AC64" s="1120">
        <f>AB64-AA64-Q64</f>
        <v>0</v>
      </c>
    </row>
    <row r="65" spans="1:29">
      <c r="A65" s="1819" t="s">
        <v>1342</v>
      </c>
      <c r="B65" s="1820"/>
      <c r="C65" s="1820"/>
      <c r="D65" s="1820"/>
      <c r="E65" s="1820"/>
      <c r="F65" s="1820"/>
      <c r="G65" s="1820"/>
      <c r="H65" s="1820"/>
      <c r="I65" s="1805"/>
      <c r="J65" s="1805"/>
      <c r="K65" s="1805"/>
      <c r="L65" s="1805"/>
      <c r="M65" s="1805"/>
      <c r="N65" s="1805"/>
      <c r="O65" s="1805"/>
      <c r="P65" s="1805"/>
      <c r="Q65" s="1805"/>
      <c r="R65" s="1805"/>
      <c r="S65" s="1805"/>
      <c r="T65" s="1805"/>
      <c r="U65" s="1805"/>
      <c r="V65" s="1805"/>
      <c r="W65" s="1805"/>
      <c r="X65" s="1805"/>
      <c r="Y65" s="1805"/>
      <c r="Z65" s="1805"/>
      <c r="AA65" s="1805"/>
      <c r="AB65" s="1821"/>
    </row>
    <row r="66" spans="1:29" ht="131.25">
      <c r="A66" s="1138">
        <v>40</v>
      </c>
      <c r="B66" s="1138">
        <v>1</v>
      </c>
      <c r="C66" s="1126" t="s">
        <v>1108</v>
      </c>
      <c r="D66" s="1132" t="s">
        <v>384</v>
      </c>
      <c r="E66" s="1127" t="s">
        <v>1440</v>
      </c>
      <c r="F66" s="1127">
        <v>14</v>
      </c>
      <c r="G66" s="1129">
        <v>15</v>
      </c>
      <c r="H66" s="1157"/>
      <c r="I66" s="1127">
        <v>12000</v>
      </c>
      <c r="J66" s="1129">
        <f t="shared" ref="J66" si="60">(G66+H66)*I66*F66</f>
        <v>2520000</v>
      </c>
      <c r="K66" s="1149">
        <f>2.5*4129</f>
        <v>10322.5</v>
      </c>
      <c r="L66" s="1127">
        <f t="shared" ref="L66" si="61">K66*F66*G66</f>
        <v>2167725</v>
      </c>
      <c r="M66" s="1124">
        <f>2*4129</f>
        <v>8258</v>
      </c>
      <c r="N66" s="1124">
        <f t="shared" ref="N66" si="62">M66*H66*F66</f>
        <v>0</v>
      </c>
      <c r="O66" s="1124">
        <v>10000</v>
      </c>
      <c r="P66" s="1124">
        <f>O66*(H66+G66)*2</f>
        <v>300000</v>
      </c>
      <c r="Q66" s="1124">
        <f t="shared" ref="Q66:Q68" si="63">SUM(J66+L66+N66+P66)</f>
        <v>4987725</v>
      </c>
      <c r="R66" s="1130"/>
      <c r="S66" s="1131"/>
      <c r="T66" s="1130"/>
      <c r="U66" s="1131"/>
      <c r="V66" s="1130"/>
      <c r="W66" s="1131">
        <f t="shared" ref="W66:W68" si="64">V66*(G66+H66)*F66</f>
        <v>0</v>
      </c>
      <c r="X66" s="1130"/>
      <c r="Y66" s="1131"/>
      <c r="Z66" s="1130"/>
      <c r="AA66" s="1135">
        <f t="shared" ref="AA66:AA68" si="65">S66+U66+W66+Y66+Z66</f>
        <v>0</v>
      </c>
      <c r="AB66" s="1135">
        <f t="shared" ref="AB66:AB68" si="66">AA66+Q66</f>
        <v>4987725</v>
      </c>
    </row>
    <row r="67" spans="1:29" ht="56.25">
      <c r="A67" s="1138">
        <v>41</v>
      </c>
      <c r="B67" s="1138">
        <v>2</v>
      </c>
      <c r="C67" s="1156" t="s">
        <v>1343</v>
      </c>
      <c r="D67" s="1132" t="s">
        <v>1344</v>
      </c>
      <c r="E67" s="1127" t="s">
        <v>1345</v>
      </c>
      <c r="F67" s="1127">
        <v>6</v>
      </c>
      <c r="G67" s="1129">
        <v>12</v>
      </c>
      <c r="H67" s="1159"/>
      <c r="I67" s="1127"/>
      <c r="J67" s="1129"/>
      <c r="K67" s="1127"/>
      <c r="L67" s="1127"/>
      <c r="M67" s="1124"/>
      <c r="N67" s="1124"/>
      <c r="O67" s="1124"/>
      <c r="P67" s="1124"/>
      <c r="Q67" s="1124">
        <f t="shared" si="63"/>
        <v>0</v>
      </c>
      <c r="R67" s="1130">
        <f>80*$AB$4</f>
        <v>36037.600000000006</v>
      </c>
      <c r="S67" s="1131">
        <f>R67*F67*(G67+H67)</f>
        <v>2594707.2000000002</v>
      </c>
      <c r="T67" s="1132">
        <v>26000</v>
      </c>
      <c r="U67" s="1131">
        <f>T67*F67*(G67+H67)</f>
        <v>1872000</v>
      </c>
      <c r="V67" s="1132">
        <v>657</v>
      </c>
      <c r="W67" s="1131">
        <f t="shared" si="64"/>
        <v>47304</v>
      </c>
      <c r="X67" s="1132">
        <v>366914</v>
      </c>
      <c r="Y67" s="1131">
        <f>X67*(G67+H67)</f>
        <v>4402968</v>
      </c>
      <c r="Z67" s="1132"/>
      <c r="AA67" s="1135">
        <f t="shared" si="65"/>
        <v>8916979.1999999993</v>
      </c>
      <c r="AB67" s="1135">
        <f t="shared" si="66"/>
        <v>8916979.1999999993</v>
      </c>
    </row>
    <row r="68" spans="1:29" ht="37.5">
      <c r="A68" s="1138">
        <v>42</v>
      </c>
      <c r="B68" s="1138">
        <v>3</v>
      </c>
      <c r="C68" s="1126" t="s">
        <v>1346</v>
      </c>
      <c r="D68" s="1132" t="s">
        <v>1146</v>
      </c>
      <c r="E68" s="1127" t="s">
        <v>1347</v>
      </c>
      <c r="F68" s="1159">
        <v>10</v>
      </c>
      <c r="G68" s="1129">
        <v>15</v>
      </c>
      <c r="H68" s="1157"/>
      <c r="I68" s="1131"/>
      <c r="J68" s="1137"/>
      <c r="K68" s="1131"/>
      <c r="L68" s="1131"/>
      <c r="M68" s="1138"/>
      <c r="N68" s="1138"/>
      <c r="O68" s="1138"/>
      <c r="P68" s="1124"/>
      <c r="Q68" s="1138">
        <f t="shared" si="63"/>
        <v>0</v>
      </c>
      <c r="R68" s="1130">
        <f>80*$AB$4</f>
        <v>36037.600000000006</v>
      </c>
      <c r="S68" s="1131">
        <f>R68*F68*(G68+H68)</f>
        <v>5405640.0000000009</v>
      </c>
      <c r="T68" s="1132">
        <v>26000</v>
      </c>
      <c r="U68" s="1131">
        <f>T68*F68*(G68+H68)</f>
        <v>3900000</v>
      </c>
      <c r="V68" s="1132">
        <v>1029</v>
      </c>
      <c r="W68" s="1131">
        <f t="shared" si="64"/>
        <v>154350</v>
      </c>
      <c r="X68" s="1132">
        <v>580754</v>
      </c>
      <c r="Y68" s="1131">
        <f>X68*(G68+H68)</f>
        <v>8711310</v>
      </c>
      <c r="Z68" s="1132"/>
      <c r="AA68" s="1135">
        <f t="shared" si="65"/>
        <v>18171300</v>
      </c>
      <c r="AB68" s="1135">
        <f t="shared" si="66"/>
        <v>18171300</v>
      </c>
    </row>
    <row r="69" spans="1:29">
      <c r="A69" s="1807" t="s">
        <v>38</v>
      </c>
      <c r="B69" s="1807"/>
      <c r="C69" s="1807"/>
      <c r="D69" s="1807"/>
      <c r="E69" s="1807"/>
      <c r="F69" s="1807"/>
      <c r="G69" s="1807"/>
      <c r="H69" s="1807"/>
      <c r="I69" s="1145"/>
      <c r="J69" s="1145">
        <f>SUM(J66:J68)</f>
        <v>2520000</v>
      </c>
      <c r="K69" s="1145"/>
      <c r="L69" s="1145">
        <f>SUM(L66:L68)</f>
        <v>2167725</v>
      </c>
      <c r="M69" s="1145"/>
      <c r="N69" s="1145">
        <f>SUM(N66:N68)</f>
        <v>0</v>
      </c>
      <c r="O69" s="1213"/>
      <c r="P69" s="1145">
        <f>SUM(P66:P68)</f>
        <v>300000</v>
      </c>
      <c r="Q69" s="1145">
        <f>SUM(Q66:Q68)</f>
        <v>4987725</v>
      </c>
      <c r="R69" s="1213"/>
      <c r="S69" s="1145">
        <f>SUM(S66:S68)</f>
        <v>8000347.2000000011</v>
      </c>
      <c r="T69" s="1213"/>
      <c r="U69" s="1145">
        <f>SUM(U66:U68)</f>
        <v>5772000</v>
      </c>
      <c r="V69" s="1213"/>
      <c r="W69" s="1145">
        <f>SUM(W66:W68)</f>
        <v>201654</v>
      </c>
      <c r="X69" s="1213"/>
      <c r="Y69" s="1145">
        <f>SUM(Y66:Y68)</f>
        <v>13114278</v>
      </c>
      <c r="Z69" s="1145">
        <f>SUM(Z66:Z68)</f>
        <v>0</v>
      </c>
      <c r="AA69" s="1145">
        <f>SUM(AA66:AA68)</f>
        <v>27088279.199999999</v>
      </c>
      <c r="AB69" s="1145">
        <f>SUM(AB66:AB68)</f>
        <v>32076004.199999999</v>
      </c>
      <c r="AC69" s="1120">
        <f>AB69-AA69-Q69</f>
        <v>0</v>
      </c>
    </row>
    <row r="70" spans="1:29">
      <c r="A70" s="1819" t="s">
        <v>1348</v>
      </c>
      <c r="B70" s="1820"/>
      <c r="C70" s="1820"/>
      <c r="D70" s="1820"/>
      <c r="E70" s="1820"/>
      <c r="F70" s="1820"/>
      <c r="G70" s="1820"/>
      <c r="H70" s="1820"/>
      <c r="I70" s="1805"/>
      <c r="J70" s="1805"/>
      <c r="K70" s="1805"/>
      <c r="L70" s="1805"/>
      <c r="M70" s="1805"/>
      <c r="N70" s="1805"/>
      <c r="O70" s="1805"/>
      <c r="P70" s="1805"/>
      <c r="Q70" s="1805"/>
      <c r="R70" s="1805"/>
      <c r="S70" s="1805"/>
      <c r="T70" s="1805"/>
      <c r="U70" s="1805"/>
      <c r="V70" s="1805"/>
      <c r="W70" s="1805"/>
      <c r="X70" s="1805"/>
      <c r="Y70" s="1805"/>
      <c r="Z70" s="1805"/>
      <c r="AA70" s="1805"/>
      <c r="AB70" s="1821"/>
    </row>
    <row r="71" spans="1:29" ht="131.25">
      <c r="A71" s="1124">
        <v>43</v>
      </c>
      <c r="B71" s="1138">
        <v>1</v>
      </c>
      <c r="C71" s="1126" t="s">
        <v>1108</v>
      </c>
      <c r="D71" s="1132" t="s">
        <v>1349</v>
      </c>
      <c r="E71" s="1127" t="s">
        <v>1440</v>
      </c>
      <c r="F71" s="1159">
        <v>18</v>
      </c>
      <c r="G71" s="1129">
        <v>15</v>
      </c>
      <c r="H71" s="1159"/>
      <c r="I71" s="1127">
        <v>12000</v>
      </c>
      <c r="J71" s="1129">
        <f t="shared" ref="J71:J72" si="67">(G71+H71)*I71*F71</f>
        <v>3240000</v>
      </c>
      <c r="K71" s="1149">
        <f>2.5*4129</f>
        <v>10322.5</v>
      </c>
      <c r="L71" s="1127">
        <f t="shared" ref="L71:L72" si="68">K71*F71*G71</f>
        <v>2787075</v>
      </c>
      <c r="M71" s="1124">
        <f>2*4129</f>
        <v>8258</v>
      </c>
      <c r="N71" s="1124">
        <f t="shared" ref="N71:N72" si="69">M71*H71*F71</f>
        <v>0</v>
      </c>
      <c r="O71" s="1124">
        <v>10000</v>
      </c>
      <c r="P71" s="1124">
        <f>O71*(H71+G71)*2</f>
        <v>300000</v>
      </c>
      <c r="Q71" s="1124">
        <f t="shared" ref="Q71:Q73" si="70">SUM(J71+L71+N71+P71)</f>
        <v>6327075</v>
      </c>
      <c r="R71" s="1124"/>
      <c r="S71" s="1124"/>
      <c r="T71" s="1124"/>
      <c r="U71" s="1124"/>
      <c r="V71" s="1124"/>
      <c r="W71" s="1124">
        <f t="shared" ref="W71:W73" si="71">V71*(G71+H71)*F71</f>
        <v>0</v>
      </c>
      <c r="X71" s="1124"/>
      <c r="Y71" s="1124"/>
      <c r="Z71" s="1124"/>
      <c r="AA71" s="1149">
        <f t="shared" ref="AA71:AA73" si="72">S71+U71+W71+Y71+Z71</f>
        <v>0</v>
      </c>
      <c r="AB71" s="1149">
        <f t="shared" ref="AB71:AB73" si="73">Q71+AA71</f>
        <v>6327075</v>
      </c>
    </row>
    <row r="72" spans="1:29" ht="131.25">
      <c r="A72" s="1124">
        <v>44</v>
      </c>
      <c r="B72" s="1138">
        <v>2</v>
      </c>
      <c r="C72" s="1158" t="s">
        <v>1108</v>
      </c>
      <c r="D72" s="1132" t="s">
        <v>1341</v>
      </c>
      <c r="E72" s="1127" t="s">
        <v>1440</v>
      </c>
      <c r="F72" s="1127">
        <v>18</v>
      </c>
      <c r="G72" s="1129">
        <v>15</v>
      </c>
      <c r="H72" s="1159"/>
      <c r="I72" s="1127">
        <v>12000</v>
      </c>
      <c r="J72" s="1129">
        <f t="shared" si="67"/>
        <v>3240000</v>
      </c>
      <c r="K72" s="1149">
        <f>2.5*4129</f>
        <v>10322.5</v>
      </c>
      <c r="L72" s="1127">
        <f t="shared" si="68"/>
        <v>2787075</v>
      </c>
      <c r="M72" s="1124">
        <f>2*4129</f>
        <v>8258</v>
      </c>
      <c r="N72" s="1124">
        <f t="shared" si="69"/>
        <v>0</v>
      </c>
      <c r="O72" s="1124">
        <v>10000</v>
      </c>
      <c r="P72" s="1124">
        <f>O72*(H72+G72)*2</f>
        <v>300000</v>
      </c>
      <c r="Q72" s="1124">
        <f t="shared" si="70"/>
        <v>6327075</v>
      </c>
      <c r="R72" s="1130"/>
      <c r="S72" s="1131"/>
      <c r="T72" s="1132"/>
      <c r="U72" s="1131"/>
      <c r="V72" s="1132"/>
      <c r="W72" s="1131">
        <f t="shared" si="71"/>
        <v>0</v>
      </c>
      <c r="X72" s="1132"/>
      <c r="Y72" s="1131"/>
      <c r="Z72" s="1132"/>
      <c r="AA72" s="1135">
        <f t="shared" si="72"/>
        <v>0</v>
      </c>
      <c r="AB72" s="1149">
        <f t="shared" si="73"/>
        <v>6327075</v>
      </c>
    </row>
    <row r="73" spans="1:29" ht="56.25">
      <c r="A73" s="1124">
        <v>45</v>
      </c>
      <c r="B73" s="1138">
        <v>3</v>
      </c>
      <c r="C73" s="1136" t="s">
        <v>1350</v>
      </c>
      <c r="D73" s="1132" t="s">
        <v>1318</v>
      </c>
      <c r="E73" s="1127" t="s">
        <v>1351</v>
      </c>
      <c r="F73" s="1159">
        <v>6</v>
      </c>
      <c r="G73" s="1129">
        <v>12</v>
      </c>
      <c r="H73" s="1159"/>
      <c r="I73" s="1127"/>
      <c r="J73" s="1137"/>
      <c r="K73" s="1127"/>
      <c r="L73" s="1131"/>
      <c r="M73" s="1138"/>
      <c r="N73" s="1138"/>
      <c r="O73" s="1124"/>
      <c r="P73" s="1124"/>
      <c r="Q73" s="1138">
        <f t="shared" si="70"/>
        <v>0</v>
      </c>
      <c r="R73" s="1130">
        <f>80*$AB$4</f>
        <v>36037.600000000006</v>
      </c>
      <c r="S73" s="1131">
        <f>R73*F73*(G73+H73)</f>
        <v>2594707.2000000002</v>
      </c>
      <c r="T73" s="1132">
        <v>26000</v>
      </c>
      <c r="U73" s="1131">
        <f>T73*F73*(G73+H73)</f>
        <v>1872000</v>
      </c>
      <c r="V73" s="1132">
        <v>1889</v>
      </c>
      <c r="W73" s="1131">
        <f t="shared" si="71"/>
        <v>136008</v>
      </c>
      <c r="X73" s="1132">
        <v>690422</v>
      </c>
      <c r="Y73" s="1131">
        <f>X73*(G73+H73)</f>
        <v>8285064</v>
      </c>
      <c r="Z73" s="1130">
        <f>80*$AB$5*(G73+H73)</f>
        <v>469257.60000000003</v>
      </c>
      <c r="AA73" s="1135">
        <f t="shared" si="72"/>
        <v>13357036.799999999</v>
      </c>
      <c r="AB73" s="1149">
        <f t="shared" si="73"/>
        <v>13357036.799999999</v>
      </c>
    </row>
    <row r="74" spans="1:29">
      <c r="A74" s="1807" t="s">
        <v>38</v>
      </c>
      <c r="B74" s="1807"/>
      <c r="C74" s="1807"/>
      <c r="D74" s="1807"/>
      <c r="E74" s="1807"/>
      <c r="F74" s="1807"/>
      <c r="G74" s="1807"/>
      <c r="H74" s="1144"/>
      <c r="I74" s="1145"/>
      <c r="J74" s="1145">
        <f>SUM(J71:J73)</f>
        <v>6480000</v>
      </c>
      <c r="K74" s="1145"/>
      <c r="L74" s="1145">
        <f>SUM(L71:L73)</f>
        <v>5574150</v>
      </c>
      <c r="M74" s="1145"/>
      <c r="N74" s="1145">
        <f>SUM(N71:N73)</f>
        <v>0</v>
      </c>
      <c r="O74" s="1213"/>
      <c r="P74" s="1145">
        <f>SUM(P71:P73)</f>
        <v>600000</v>
      </c>
      <c r="Q74" s="1145">
        <f>SUM(Q71:Q73)</f>
        <v>12654150</v>
      </c>
      <c r="R74" s="1213"/>
      <c r="S74" s="1145">
        <f>SUM(S71:S73)</f>
        <v>2594707.2000000002</v>
      </c>
      <c r="T74" s="1213"/>
      <c r="U74" s="1145">
        <f>SUM(U71:U73)</f>
        <v>1872000</v>
      </c>
      <c r="V74" s="1213"/>
      <c r="W74" s="1145">
        <f>SUM(W71:W73)</f>
        <v>136008</v>
      </c>
      <c r="X74" s="1213"/>
      <c r="Y74" s="1145">
        <f>SUM(Y71:Y73)</f>
        <v>8285064</v>
      </c>
      <c r="Z74" s="1145">
        <f>SUM(Z71:Z73)</f>
        <v>469257.60000000003</v>
      </c>
      <c r="AA74" s="1145">
        <f>SUM(AA71:AA73)</f>
        <v>13357036.799999999</v>
      </c>
      <c r="AB74" s="1145">
        <f>SUM(AB71:AB73)</f>
        <v>26011186.799999997</v>
      </c>
      <c r="AC74" s="1120">
        <f>AB74-AA74-Q74</f>
        <v>0</v>
      </c>
    </row>
    <row r="75" spans="1:29">
      <c r="A75" s="1819" t="s">
        <v>1352</v>
      </c>
      <c r="B75" s="1820"/>
      <c r="C75" s="1820"/>
      <c r="D75" s="1820"/>
      <c r="E75" s="1820"/>
      <c r="F75" s="1820"/>
      <c r="G75" s="1820"/>
      <c r="H75" s="1820"/>
      <c r="I75" s="1805"/>
      <c r="J75" s="1805"/>
      <c r="K75" s="1805"/>
      <c r="L75" s="1805"/>
      <c r="M75" s="1805"/>
      <c r="N75" s="1805"/>
      <c r="O75" s="1805"/>
      <c r="P75" s="1805"/>
      <c r="Q75" s="1805"/>
      <c r="R75" s="1805"/>
      <c r="S75" s="1805"/>
      <c r="T75" s="1805"/>
      <c r="U75" s="1805"/>
      <c r="V75" s="1805"/>
      <c r="W75" s="1805"/>
      <c r="X75" s="1805"/>
      <c r="Y75" s="1805"/>
      <c r="Z75" s="1805"/>
      <c r="AA75" s="1805"/>
      <c r="AB75" s="1821"/>
    </row>
    <row r="76" spans="1:29" ht="56.25">
      <c r="A76" s="1149">
        <v>46</v>
      </c>
      <c r="B76" s="1173">
        <v>1</v>
      </c>
      <c r="C76" s="1174" t="s">
        <v>1353</v>
      </c>
      <c r="D76" s="1132" t="s">
        <v>1354</v>
      </c>
      <c r="E76" s="1132" t="s">
        <v>1355</v>
      </c>
      <c r="F76" s="1166">
        <v>5</v>
      </c>
      <c r="G76" s="1166">
        <v>10</v>
      </c>
      <c r="H76" s="1149"/>
      <c r="I76" s="1149"/>
      <c r="J76" s="1149"/>
      <c r="K76" s="1149"/>
      <c r="L76" s="1149"/>
      <c r="M76" s="1149"/>
      <c r="N76" s="1149"/>
      <c r="O76" s="1133"/>
      <c r="P76" s="1133"/>
      <c r="Q76" s="1149">
        <f t="shared" ref="Q76:Q78" si="74">SUM(J76+L76+N76+P76)</f>
        <v>0</v>
      </c>
      <c r="R76" s="1130">
        <f>80*$AB$4</f>
        <v>36037.600000000006</v>
      </c>
      <c r="S76" s="1127">
        <f>R76*F76*(G76+H76)</f>
        <v>1801880.0000000002</v>
      </c>
      <c r="T76" s="1132">
        <v>26000</v>
      </c>
      <c r="U76" s="1127">
        <f>T76*F76*(G76+H76)</f>
        <v>1300000</v>
      </c>
      <c r="V76" s="1133">
        <v>1889</v>
      </c>
      <c r="W76" s="1131">
        <f t="shared" ref="W76:W78" si="75">V76*(G76+H76)*F76</f>
        <v>94450</v>
      </c>
      <c r="X76" s="1133">
        <v>389563</v>
      </c>
      <c r="Y76" s="1131">
        <f>X76*(G76+H76)</f>
        <v>3895630</v>
      </c>
      <c r="Z76" s="1130">
        <f>80*$AB$5*(G76+H76)</f>
        <v>391048</v>
      </c>
      <c r="AA76" s="1135">
        <f t="shared" ref="AA76:AA78" si="76">S76+U76+W76+Y76+Z76</f>
        <v>7483008</v>
      </c>
      <c r="AB76" s="1149">
        <f t="shared" ref="AB76:AB78" si="77">AA76+Q76</f>
        <v>7483008</v>
      </c>
    </row>
    <row r="77" spans="1:29" ht="56.25">
      <c r="A77" s="1149">
        <v>47</v>
      </c>
      <c r="B77" s="1173">
        <v>2</v>
      </c>
      <c r="C77" s="1174" t="s">
        <v>1356</v>
      </c>
      <c r="D77" s="1132" t="s">
        <v>1357</v>
      </c>
      <c r="E77" s="1132" t="s">
        <v>1358</v>
      </c>
      <c r="F77" s="1166">
        <v>6</v>
      </c>
      <c r="G77" s="1166">
        <v>10</v>
      </c>
      <c r="H77" s="1149"/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2162256.0000000005</v>
      </c>
      <c r="T77" s="1132">
        <v>26000</v>
      </c>
      <c r="U77" s="1127">
        <f>T77*F77*(G77+H77)</f>
        <v>1560000</v>
      </c>
      <c r="V77" s="1133">
        <v>1029</v>
      </c>
      <c r="W77" s="1133">
        <f t="shared" si="75"/>
        <v>61740</v>
      </c>
      <c r="X77" s="1133">
        <v>579472</v>
      </c>
      <c r="Y77" s="1133">
        <f>X77*(G77+H77)</f>
        <v>5794720</v>
      </c>
      <c r="Z77" s="1133"/>
      <c r="AA77" s="1135">
        <f t="shared" si="76"/>
        <v>9578716</v>
      </c>
      <c r="AB77" s="1149">
        <f t="shared" si="77"/>
        <v>9578716</v>
      </c>
    </row>
    <row r="78" spans="1:29" ht="37.5">
      <c r="A78" s="1149">
        <v>48</v>
      </c>
      <c r="B78" s="1173">
        <v>3</v>
      </c>
      <c r="C78" s="1126" t="s">
        <v>1359</v>
      </c>
      <c r="D78" s="1132" t="s">
        <v>1360</v>
      </c>
      <c r="E78" s="1132" t="s">
        <v>1361</v>
      </c>
      <c r="F78" s="1166">
        <v>14</v>
      </c>
      <c r="G78" s="1166">
        <v>10</v>
      </c>
      <c r="H78" s="1149"/>
      <c r="I78" s="1149"/>
      <c r="J78" s="1149"/>
      <c r="K78" s="1149"/>
      <c r="L78" s="1149"/>
      <c r="M78" s="1149"/>
      <c r="N78" s="1149"/>
      <c r="O78" s="1133"/>
      <c r="P78" s="1133"/>
      <c r="Q78" s="1149">
        <f t="shared" si="74"/>
        <v>0</v>
      </c>
      <c r="R78" s="1130">
        <f>80*$AB$4</f>
        <v>36037.600000000006</v>
      </c>
      <c r="S78" s="1127">
        <f>R78*F78*(G78+H78)</f>
        <v>5045264.0000000009</v>
      </c>
      <c r="T78" s="1132">
        <v>26000</v>
      </c>
      <c r="U78" s="1127">
        <f>T78*F78*(G78+H78)</f>
        <v>3640000</v>
      </c>
      <c r="V78" s="1133">
        <v>1029</v>
      </c>
      <c r="W78" s="1131">
        <f t="shared" si="75"/>
        <v>144060</v>
      </c>
      <c r="X78" s="1133">
        <v>505732</v>
      </c>
      <c r="Y78" s="1131">
        <f>X78*(G78+H78)</f>
        <v>5057320</v>
      </c>
      <c r="Z78" s="1130">
        <f>40*$AB$4</f>
        <v>18018.800000000003</v>
      </c>
      <c r="AA78" s="1135">
        <f t="shared" si="76"/>
        <v>13904662.800000001</v>
      </c>
      <c r="AB78" s="1149">
        <f t="shared" si="77"/>
        <v>13904662.800000001</v>
      </c>
    </row>
    <row r="79" spans="1:29">
      <c r="A79" s="1807" t="s">
        <v>38</v>
      </c>
      <c r="B79" s="1807"/>
      <c r="C79" s="1807"/>
      <c r="D79" s="1807"/>
      <c r="E79" s="1807"/>
      <c r="F79" s="1807"/>
      <c r="G79" s="1807"/>
      <c r="H79" s="1807"/>
      <c r="I79" s="1145"/>
      <c r="J79" s="1145">
        <f>SUM(J76:J78)</f>
        <v>0</v>
      </c>
      <c r="K79" s="1145"/>
      <c r="L79" s="1145">
        <f>SUM(L76:L78)</f>
        <v>0</v>
      </c>
      <c r="M79" s="1145"/>
      <c r="N79" s="1145">
        <f>SUM(N76:N78)</f>
        <v>0</v>
      </c>
      <c r="O79" s="1213"/>
      <c r="P79" s="1145">
        <f>SUM(P76:P78)</f>
        <v>0</v>
      </c>
      <c r="Q79" s="1145">
        <f>SUM(Q76:Q78)</f>
        <v>0</v>
      </c>
      <c r="R79" s="1213"/>
      <c r="S79" s="1145">
        <f>SUM(S76:S78)</f>
        <v>9009400.0000000019</v>
      </c>
      <c r="T79" s="1213"/>
      <c r="U79" s="1145">
        <f>SUM(U76:U78)</f>
        <v>6500000</v>
      </c>
      <c r="V79" s="1213"/>
      <c r="W79" s="1145">
        <f>SUM(W76:W78)</f>
        <v>300250</v>
      </c>
      <c r="X79" s="1213"/>
      <c r="Y79" s="1145">
        <f>SUM(Y76:Y78)</f>
        <v>14747670</v>
      </c>
      <c r="Z79" s="1145">
        <f>SUM(Z76:Z78)</f>
        <v>409066.8</v>
      </c>
      <c r="AA79" s="1145">
        <f>SUM(AA76:AA78)</f>
        <v>30966386.800000001</v>
      </c>
      <c r="AB79" s="1145">
        <f>SUM(AB76:AB78)</f>
        <v>30966386.800000001</v>
      </c>
      <c r="AC79" s="1146">
        <f>AB79-AA79-Q79</f>
        <v>0</v>
      </c>
    </row>
    <row r="80" spans="1:29">
      <c r="A80" s="1809" t="s">
        <v>1362</v>
      </c>
      <c r="B80" s="1809"/>
      <c r="C80" s="1809"/>
      <c r="D80" s="1809"/>
      <c r="E80" s="1809"/>
      <c r="F80" s="1809"/>
      <c r="G80" s="1809"/>
      <c r="H80" s="1809"/>
      <c r="I80" s="1810"/>
      <c r="J80" s="1810"/>
      <c r="K80" s="1810"/>
      <c r="L80" s="1810"/>
      <c r="M80" s="1810"/>
      <c r="N80" s="1810"/>
      <c r="O80" s="1810"/>
      <c r="P80" s="1810"/>
      <c r="Q80" s="1810"/>
      <c r="R80" s="1810"/>
      <c r="S80" s="1810"/>
      <c r="T80" s="1810"/>
      <c r="U80" s="1810"/>
      <c r="V80" s="1810"/>
      <c r="W80" s="1810"/>
      <c r="X80" s="1810"/>
      <c r="Y80" s="1810"/>
      <c r="Z80" s="1810"/>
      <c r="AA80" s="1810"/>
      <c r="AB80" s="1810"/>
    </row>
    <row r="81" spans="1:29" ht="126" customHeight="1">
      <c r="A81" s="1124">
        <v>49</v>
      </c>
      <c r="B81" s="1129">
        <v>1</v>
      </c>
      <c r="C81" s="1175" t="s">
        <v>1363</v>
      </c>
      <c r="D81" s="1149" t="s">
        <v>1364</v>
      </c>
      <c r="E81" s="1149" t="s">
        <v>1365</v>
      </c>
      <c r="F81" s="1166">
        <v>14</v>
      </c>
      <c r="G81" s="1166">
        <v>10</v>
      </c>
      <c r="H81" s="1149"/>
      <c r="I81" s="1127">
        <v>12000</v>
      </c>
      <c r="J81" s="1137">
        <f t="shared" ref="J81" si="78">(G81+H81)*I81*F81</f>
        <v>1680000</v>
      </c>
      <c r="K81" s="1149">
        <f>2.5*4129</f>
        <v>10322.5</v>
      </c>
      <c r="L81" s="1131">
        <f t="shared" ref="L81" si="79">K81*F81*G81</f>
        <v>1445150</v>
      </c>
      <c r="M81" s="1138">
        <f>2*4129</f>
        <v>8258</v>
      </c>
      <c r="N81" s="1138">
        <f t="shared" ref="N81" si="80">M81*H81*F81</f>
        <v>0</v>
      </c>
      <c r="O81" s="1133">
        <v>10000</v>
      </c>
      <c r="P81" s="1124">
        <f>O81*(H81+G81)*2</f>
        <v>200000</v>
      </c>
      <c r="Q81" s="1138">
        <f t="shared" ref="Q81:Q83" si="81">SUM(J81+L81+N81+P81)</f>
        <v>3325150</v>
      </c>
      <c r="R81" s="1149"/>
      <c r="S81" s="1127"/>
      <c r="T81" s="1166"/>
      <c r="U81" s="1127"/>
      <c r="V81" s="1133"/>
      <c r="W81" s="1127">
        <f t="shared" ref="W81:W83" si="82">V81*(G81+H81)*F81</f>
        <v>0</v>
      </c>
      <c r="X81" s="1133"/>
      <c r="Y81" s="1127"/>
      <c r="Z81" s="1133"/>
      <c r="AA81" s="1149">
        <f t="shared" ref="AA81:AA83" si="83">S81+U81+W81+Y81+Z81</f>
        <v>0</v>
      </c>
      <c r="AB81" s="1135">
        <f t="shared" ref="AB81:AB83" si="84">AA81+Q81</f>
        <v>3325150</v>
      </c>
    </row>
    <row r="82" spans="1:29" ht="56.25">
      <c r="A82" s="1124">
        <v>50</v>
      </c>
      <c r="B82" s="1129">
        <v>2</v>
      </c>
      <c r="C82" s="1160" t="s">
        <v>1366</v>
      </c>
      <c r="D82" s="1132" t="s">
        <v>1367</v>
      </c>
      <c r="E82" s="1132" t="s">
        <v>389</v>
      </c>
      <c r="F82" s="1166">
        <v>6</v>
      </c>
      <c r="G82" s="1166">
        <v>10</v>
      </c>
      <c r="H82" s="1149"/>
      <c r="I82" s="1149"/>
      <c r="J82" s="1137"/>
      <c r="K82" s="1149"/>
      <c r="L82" s="1131"/>
      <c r="M82" s="1138"/>
      <c r="N82" s="1138"/>
      <c r="O82" s="1133"/>
      <c r="P82" s="1124"/>
      <c r="Q82" s="1138">
        <f t="shared" si="81"/>
        <v>0</v>
      </c>
      <c r="R82" s="1130">
        <f>80*$AB$4</f>
        <v>36037.600000000006</v>
      </c>
      <c r="S82" s="1131">
        <f>R82*F82*(G82+H82)</f>
        <v>2162256.0000000005</v>
      </c>
      <c r="T82" s="1132">
        <v>26000</v>
      </c>
      <c r="U82" s="1131">
        <f>T82*F82*(G82+H82)</f>
        <v>1560000</v>
      </c>
      <c r="V82" s="1133">
        <v>1889</v>
      </c>
      <c r="W82" s="1131">
        <f t="shared" si="82"/>
        <v>113340</v>
      </c>
      <c r="X82" s="1130">
        <v>685846</v>
      </c>
      <c r="Y82" s="1131">
        <f>X82*(G82+H82)</f>
        <v>6858460</v>
      </c>
      <c r="Z82" s="1130">
        <f>80*$AB$5*(G82+H82)</f>
        <v>391048</v>
      </c>
      <c r="AA82" s="1135">
        <f t="shared" si="83"/>
        <v>11085104</v>
      </c>
      <c r="AB82" s="1135">
        <f t="shared" si="84"/>
        <v>11085104</v>
      </c>
    </row>
    <row r="83" spans="1:29" ht="131.25">
      <c r="A83" s="1124">
        <v>51</v>
      </c>
      <c r="B83" s="1129">
        <v>3</v>
      </c>
      <c r="C83" s="1175" t="s">
        <v>1368</v>
      </c>
      <c r="D83" s="1132" t="s">
        <v>1369</v>
      </c>
      <c r="E83" s="1132" t="s">
        <v>1370</v>
      </c>
      <c r="F83" s="1166">
        <v>14</v>
      </c>
      <c r="G83" s="1166">
        <v>10</v>
      </c>
      <c r="H83" s="1149"/>
      <c r="I83" s="1149"/>
      <c r="J83" s="1149"/>
      <c r="K83" s="1149"/>
      <c r="L83" s="1149"/>
      <c r="M83" s="1149"/>
      <c r="N83" s="1149"/>
      <c r="O83" s="1133"/>
      <c r="P83" s="1133"/>
      <c r="Q83" s="1149">
        <f t="shared" si="81"/>
        <v>0</v>
      </c>
      <c r="R83" s="1130">
        <f>80*$AB$4</f>
        <v>36037.600000000006</v>
      </c>
      <c r="S83" s="1131">
        <f>R83*F83*(G83+H83)</f>
        <v>5045264.0000000009</v>
      </c>
      <c r="T83" s="1132">
        <v>26195</v>
      </c>
      <c r="U83" s="1131">
        <f>T83*F83*(G83+H83)</f>
        <v>3667300</v>
      </c>
      <c r="V83" s="1133">
        <v>1029</v>
      </c>
      <c r="W83" s="1131">
        <f t="shared" si="82"/>
        <v>144060</v>
      </c>
      <c r="X83" s="1133">
        <v>505732</v>
      </c>
      <c r="Y83" s="1131">
        <f>X83*(G83+H83)</f>
        <v>5057320</v>
      </c>
      <c r="Z83" s="1130">
        <f>40*$AB$4</f>
        <v>18018.800000000003</v>
      </c>
      <c r="AA83" s="1135">
        <f t="shared" si="83"/>
        <v>13931962.800000001</v>
      </c>
      <c r="AB83" s="1135">
        <f t="shared" si="84"/>
        <v>13931962.800000001</v>
      </c>
    </row>
    <row r="84" spans="1:29">
      <c r="A84" s="1807" t="s">
        <v>38</v>
      </c>
      <c r="B84" s="1807"/>
      <c r="C84" s="1807"/>
      <c r="D84" s="1807"/>
      <c r="E84" s="1807"/>
      <c r="F84" s="1807"/>
      <c r="G84" s="1807"/>
      <c r="H84" s="1807"/>
      <c r="I84" s="1144"/>
      <c r="J84" s="1144">
        <f>SUM(J81:J83)</f>
        <v>1680000</v>
      </c>
      <c r="K84" s="1144"/>
      <c r="L84" s="1144">
        <f>SUM(L81:L83)</f>
        <v>1445150</v>
      </c>
      <c r="M84" s="1144"/>
      <c r="N84" s="1144">
        <f>SUM(N81:N83)</f>
        <v>0</v>
      </c>
      <c r="O84" s="1144"/>
      <c r="P84" s="1144">
        <f>SUM(P81:P83)</f>
        <v>200000</v>
      </c>
      <c r="Q84" s="1144">
        <f>SUM(Q81:Q83)</f>
        <v>3325150</v>
      </c>
      <c r="R84" s="1144"/>
      <c r="S84" s="1144">
        <f>SUM(S81:S83)</f>
        <v>7207520.0000000019</v>
      </c>
      <c r="T84" s="1144"/>
      <c r="U84" s="1144">
        <f>SUM(U81:U83)</f>
        <v>5227300</v>
      </c>
      <c r="V84" s="1144"/>
      <c r="W84" s="1144">
        <f>SUM(W81:W83)</f>
        <v>257400</v>
      </c>
      <c r="X84" s="1144"/>
      <c r="Y84" s="1144">
        <f>SUM(Y81:Y83)</f>
        <v>11915780</v>
      </c>
      <c r="Z84" s="1144">
        <f>SUM(Z81:Z83)</f>
        <v>409066.8</v>
      </c>
      <c r="AA84" s="1144">
        <f>SUM(AA81:AA83)</f>
        <v>25017066.800000001</v>
      </c>
      <c r="AB84" s="1144">
        <f>SUM(AB81:AB83)</f>
        <v>28342216.800000001</v>
      </c>
      <c r="AC84" s="1146"/>
    </row>
    <row r="85" spans="1:29">
      <c r="A85" s="1822" t="s">
        <v>1152</v>
      </c>
      <c r="B85" s="1823"/>
      <c r="C85" s="1823"/>
      <c r="D85" s="1823"/>
      <c r="E85" s="1824"/>
      <c r="F85" s="1176"/>
      <c r="G85" s="1176"/>
      <c r="H85" s="1176"/>
      <c r="I85" s="1176"/>
      <c r="J85" s="1177">
        <f>J50+J44+J57+J64+J79+J84+J74+J69+J15+J21+J37+J29</f>
        <v>36864000</v>
      </c>
      <c r="K85" s="1177"/>
      <c r="L85" s="1177">
        <f>L50+L44+L57+L64+L79+L84+L74+L69+L15+L21+L37+L29</f>
        <v>32020395</v>
      </c>
      <c r="M85" s="1177"/>
      <c r="N85" s="1177">
        <f>N50+N44+N57+N64+N79+N84+N74+N69+N15+N21+N37+N29</f>
        <v>0</v>
      </c>
      <c r="O85" s="1177"/>
      <c r="P85" s="1177">
        <f>P50+P44+P57+P64+P79+P84+P74+P69+P15+P21+P37+P29</f>
        <v>4320000</v>
      </c>
      <c r="Q85" s="1177">
        <f>Q50+Q44+Q57+Q64+Q79+Q84+Q74+Q69+Q15+Q21+Q37+Q29</f>
        <v>73204395</v>
      </c>
      <c r="R85" s="1177"/>
      <c r="S85" s="1177">
        <f>S50+S44+S57+S64+S79+S84+S74+S69+S15+S21+S37+S29</f>
        <v>90310225.600000009</v>
      </c>
      <c r="T85" s="1177"/>
      <c r="U85" s="1177">
        <f>U50+U44+U57+U64+U79+U84+U74+U69+U15+U21+U37+U29</f>
        <v>68343300</v>
      </c>
      <c r="V85" s="1177"/>
      <c r="W85" s="1177">
        <f>W50+W44+W57+W64+W79+W84+W74+W69+W15+W21+W37+W29</f>
        <v>3245490</v>
      </c>
      <c r="X85" s="1177"/>
      <c r="Y85" s="1177">
        <f>Y50+Y44+Y57+Y64+Y79+Y84+Y74+Y69+Y15+Y21+Y37+Y29</f>
        <v>161401587</v>
      </c>
      <c r="Z85" s="1177">
        <f>Z50+Z44+Z57+Z64+Z79+Z84+Z74+Z69+Z15+Z21+Z37+Z29</f>
        <v>6267894.7000000002</v>
      </c>
      <c r="AA85" s="1177">
        <f>AA50+AA44+AA57+AA64+AA79+AA84+AA74+AA69+AA15+AA21+AA37+AA29</f>
        <v>329568497.30000001</v>
      </c>
      <c r="AB85" s="1177">
        <f>AB50+AB44+AB57+AB64+AB79+AB84+AB74+AB69+AB15+AB21+AB37+AB29</f>
        <v>402772892.30000001</v>
      </c>
    </row>
    <row r="86" spans="1:29">
      <c r="AC86" s="1146"/>
    </row>
    <row r="87" spans="1:29">
      <c r="AB87" s="1146"/>
    </row>
    <row r="88" spans="1:29" ht="21">
      <c r="I88" s="1369" t="s">
        <v>640</v>
      </c>
      <c r="J88" s="1368"/>
      <c r="K88" s="1368"/>
      <c r="L88" s="1368"/>
      <c r="M88" s="1368"/>
      <c r="N88" s="1368"/>
      <c r="O88" s="1368"/>
      <c r="P88" s="1368"/>
      <c r="Q88" s="1368"/>
      <c r="R88" s="1369" t="s">
        <v>1167</v>
      </c>
      <c r="S88" s="1368"/>
      <c r="Y88" s="1146"/>
      <c r="AB88" s="1226"/>
      <c r="AC88" s="1146"/>
    </row>
    <row r="89" spans="1:29" ht="21">
      <c r="A89" s="674"/>
      <c r="B89" s="674"/>
      <c r="C89" s="674"/>
      <c r="D89" s="1212"/>
      <c r="F89" s="917"/>
      <c r="G89" s="674"/>
      <c r="H89" s="674"/>
      <c r="I89" s="1369"/>
      <c r="J89" s="1369"/>
      <c r="K89" s="1370"/>
      <c r="L89" s="1369"/>
      <c r="M89" s="1368"/>
      <c r="N89" s="1368"/>
      <c r="O89" s="1368"/>
      <c r="P89" s="1368"/>
      <c r="Q89" s="1368"/>
      <c r="R89" s="1369"/>
      <c r="S89" s="1368"/>
      <c r="AB89" s="1146"/>
    </row>
    <row r="90" spans="1:29" ht="21">
      <c r="A90" s="674"/>
      <c r="B90" s="674"/>
      <c r="C90" s="674"/>
      <c r="D90" s="1212"/>
      <c r="E90" s="916"/>
      <c r="F90" s="917"/>
      <c r="G90" s="674"/>
      <c r="H90" s="674"/>
      <c r="I90" s="1369"/>
      <c r="J90" s="1371"/>
      <c r="K90" s="1370"/>
      <c r="L90" s="1371"/>
      <c r="M90" s="1368"/>
      <c r="N90" s="1368"/>
      <c r="O90" s="1368"/>
      <c r="P90" s="1368"/>
      <c r="Q90" s="1368"/>
      <c r="R90" s="1369"/>
      <c r="S90" s="1368"/>
      <c r="AB90" s="1146"/>
    </row>
    <row r="91" spans="1:29" ht="21">
      <c r="A91" s="674"/>
      <c r="B91" s="674"/>
      <c r="C91" s="674"/>
      <c r="D91" s="1212"/>
      <c r="E91" s="916"/>
      <c r="F91" s="917"/>
      <c r="G91" s="674"/>
      <c r="H91" s="674"/>
      <c r="I91" s="1369" t="s">
        <v>1166</v>
      </c>
      <c r="J91" s="1369"/>
      <c r="K91" s="1370"/>
      <c r="L91" s="1369"/>
      <c r="M91" s="1368"/>
      <c r="N91" s="1368"/>
      <c r="O91" s="1368"/>
      <c r="P91" s="1368"/>
      <c r="Q91" s="1368"/>
      <c r="R91" s="1369" t="s">
        <v>1168</v>
      </c>
      <c r="S91" s="1368"/>
      <c r="AB91" s="1146"/>
    </row>
    <row r="92" spans="1:29" ht="21">
      <c r="E92" s="916"/>
      <c r="I92" s="1368"/>
      <c r="J92" s="1368"/>
      <c r="K92" s="1368"/>
      <c r="L92" s="1368"/>
      <c r="M92" s="1368"/>
      <c r="N92" s="1368"/>
      <c r="O92" s="1368"/>
      <c r="P92" s="1368"/>
      <c r="Q92" s="1368"/>
      <c r="R92" s="1368"/>
      <c r="S92" s="1368"/>
    </row>
  </sheetData>
  <mergeCells count="47">
    <mergeCell ref="A85:E85"/>
    <mergeCell ref="A70:AB70"/>
    <mergeCell ref="A74:G74"/>
    <mergeCell ref="A75:AB75"/>
    <mergeCell ref="A79:H79"/>
    <mergeCell ref="A80:AB80"/>
    <mergeCell ref="A84:H84"/>
    <mergeCell ref="A69:H69"/>
    <mergeCell ref="A30:AB30"/>
    <mergeCell ref="A37:E37"/>
    <mergeCell ref="A38:AB38"/>
    <mergeCell ref="A44:H44"/>
    <mergeCell ref="A45:AB45"/>
    <mergeCell ref="A50:H50"/>
    <mergeCell ref="A51:AB51"/>
    <mergeCell ref="A57:H57"/>
    <mergeCell ref="A58:AB58"/>
    <mergeCell ref="A64:H64"/>
    <mergeCell ref="A65:AB65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79998168889431442"/>
  </sheetPr>
  <dimension ref="A1:AC92"/>
  <sheetViews>
    <sheetView view="pageBreakPreview" topLeftCell="I76" zoomScale="50" zoomScaleNormal="70" zoomScaleSheetLayoutView="50" workbookViewId="0">
      <selection activeCell="V88" sqref="V88:V90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hidden="1" customWidth="1"/>
    <col min="8" max="8" width="6.5703125" style="1120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4.710937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1374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 ht="18.75" customHeight="1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825" t="s">
        <v>278</v>
      </c>
      <c r="S7" s="1825"/>
      <c r="T7" s="1825"/>
      <c r="U7" s="1825"/>
      <c r="V7" s="1825"/>
      <c r="W7" s="1825"/>
      <c r="X7" s="1825"/>
      <c r="Y7" s="1825"/>
      <c r="Z7" s="1825"/>
      <c r="AA7" s="1825"/>
      <c r="AB7" s="1825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825" t="s">
        <v>280</v>
      </c>
      <c r="S8" s="1825"/>
      <c r="T8" s="1825" t="s">
        <v>285</v>
      </c>
      <c r="U8" s="1825"/>
      <c r="V8" s="1825" t="s">
        <v>286</v>
      </c>
      <c r="W8" s="1825"/>
      <c r="X8" s="1825" t="s">
        <v>283</v>
      </c>
      <c r="Y8" s="1825"/>
      <c r="Z8" s="1825" t="s">
        <v>287</v>
      </c>
      <c r="AA8" s="1825" t="s">
        <v>290</v>
      </c>
      <c r="AB8" s="182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27" t="s">
        <v>291</v>
      </c>
      <c r="S9" s="1227" t="s">
        <v>292</v>
      </c>
      <c r="T9" s="1227" t="s">
        <v>294</v>
      </c>
      <c r="U9" s="1227" t="s">
        <v>292</v>
      </c>
      <c r="V9" s="1227" t="s">
        <v>296</v>
      </c>
      <c r="W9" s="1227" t="s">
        <v>292</v>
      </c>
      <c r="X9" s="1227" t="s">
        <v>297</v>
      </c>
      <c r="Y9" s="1227" t="s">
        <v>4</v>
      </c>
      <c r="Z9" s="1825"/>
      <c r="AA9" s="1825"/>
      <c r="AB9" s="1825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/>
      <c r="H11" s="1125">
        <v>5</v>
      </c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2162256.0000000005</v>
      </c>
      <c r="T11" s="1130">
        <v>28000</v>
      </c>
      <c r="U11" s="1131">
        <f>T11*F11*(G11+H11)</f>
        <v>1680000</v>
      </c>
      <c r="V11" s="1133">
        <v>657</v>
      </c>
      <c r="W11" s="1131">
        <f t="shared" ref="W11:W14" si="1">V11*(G11+H11)*F11</f>
        <v>39420</v>
      </c>
      <c r="X11" s="1134">
        <v>267695</v>
      </c>
      <c r="Y11" s="1131">
        <f>X11*(G11+H11)</f>
        <v>1338475</v>
      </c>
      <c r="Z11" s="1130"/>
      <c r="AA11" s="1135">
        <f>S11+U11+W11+Y11+Z11</f>
        <v>5220151</v>
      </c>
      <c r="AB11" s="1135">
        <f t="shared" ref="AB11:AB14" si="2">AA11+Q11</f>
        <v>5220151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/>
      <c r="H12" s="1125">
        <v>3</v>
      </c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432451.20000000007</v>
      </c>
      <c r="T12" s="1130">
        <v>28000</v>
      </c>
      <c r="U12" s="1131">
        <f>T12*F12*(G12+H12)</f>
        <v>336000</v>
      </c>
      <c r="V12" s="1133">
        <v>657</v>
      </c>
      <c r="W12" s="1131">
        <f t="shared" si="1"/>
        <v>7884</v>
      </c>
      <c r="X12" s="1134">
        <v>267695</v>
      </c>
      <c r="Y12" s="1131">
        <f>X12*(G12+H12)</f>
        <v>803085</v>
      </c>
      <c r="Z12" s="1130"/>
      <c r="AA12" s="1135">
        <f t="shared" ref="AA12:AA14" si="3">S12+U12+W12+Y12+Z12</f>
        <v>1579420.2000000002</v>
      </c>
      <c r="AB12" s="1135">
        <f t="shared" si="2"/>
        <v>1579420.2000000002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/>
      <c r="H13" s="1139">
        <v>5</v>
      </c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2162256.0000000005</v>
      </c>
      <c r="T13" s="1130">
        <v>28000</v>
      </c>
      <c r="U13" s="1131">
        <f>T13*F13*(G13+H13)</f>
        <v>1680000</v>
      </c>
      <c r="V13" s="1132">
        <v>1889</v>
      </c>
      <c r="W13" s="1131">
        <f t="shared" si="1"/>
        <v>113340</v>
      </c>
      <c r="X13" s="1134">
        <v>389563</v>
      </c>
      <c r="Y13" s="1131">
        <f>X13*(G13+H13)</f>
        <v>1947815</v>
      </c>
      <c r="Z13" s="1130">
        <f>80*$AB$5*(G73+H73)</f>
        <v>156419.20000000001</v>
      </c>
      <c r="AA13" s="1135">
        <f t="shared" si="3"/>
        <v>6059830.2000000002</v>
      </c>
      <c r="AB13" s="1135">
        <f t="shared" si="2"/>
        <v>6059830.2000000002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/>
      <c r="H14" s="1139">
        <v>5</v>
      </c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900940.00000000012</v>
      </c>
      <c r="T14" s="1130">
        <v>28000</v>
      </c>
      <c r="U14" s="1131">
        <f>T14*F14*(G14+H14)</f>
        <v>700000</v>
      </c>
      <c r="V14" s="1132">
        <v>1889</v>
      </c>
      <c r="W14" s="1131">
        <f t="shared" si="1"/>
        <v>47225</v>
      </c>
      <c r="X14" s="1134">
        <v>389563</v>
      </c>
      <c r="Y14" s="1131">
        <f>X14*(G14+H14)</f>
        <v>1947815</v>
      </c>
      <c r="Z14" s="1130">
        <f>80*$AB$5*(G74+H74)</f>
        <v>0</v>
      </c>
      <c r="AA14" s="1135">
        <f t="shared" si="3"/>
        <v>3595980</v>
      </c>
      <c r="AB14" s="1135">
        <f t="shared" si="2"/>
        <v>3595980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28"/>
      <c r="S15" s="1145">
        <f>SUM(S11:S14)</f>
        <v>5657903.2000000011</v>
      </c>
      <c r="T15" s="1228"/>
      <c r="U15" s="1145">
        <f>SUM(U11:U14)</f>
        <v>4396000</v>
      </c>
      <c r="V15" s="1228"/>
      <c r="W15" s="1145">
        <f>SUM(W11:W14)</f>
        <v>207869</v>
      </c>
      <c r="X15" s="1228"/>
      <c r="Y15" s="1145">
        <f>SUM(Y11:Y14)</f>
        <v>6037190</v>
      </c>
      <c r="Z15" s="1145">
        <f>SUM(Z11:Z14)</f>
        <v>156419.20000000001</v>
      </c>
      <c r="AA15" s="1145">
        <f>SUM(AA11:AA14)</f>
        <v>16455381.4</v>
      </c>
      <c r="AB15" s="1145">
        <f>SUM(AB11:AB14)</f>
        <v>16455381.4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/>
      <c r="H17" s="1125">
        <v>5</v>
      </c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2522632.0000000005</v>
      </c>
      <c r="T17" s="1130">
        <v>28000</v>
      </c>
      <c r="U17" s="1131">
        <f>T17*F17*(G17+H17)</f>
        <v>1960000</v>
      </c>
      <c r="V17" s="1133">
        <v>657</v>
      </c>
      <c r="W17" s="1131">
        <f t="shared" ref="W17:W20" si="5">V17*(G17+H17)*F17</f>
        <v>45990</v>
      </c>
      <c r="X17" s="1134">
        <v>267695</v>
      </c>
      <c r="Y17" s="1131">
        <f>X17*(G17+H17)</f>
        <v>1338475</v>
      </c>
      <c r="Z17" s="1130"/>
      <c r="AA17" s="1135">
        <f t="shared" ref="AA17:AA20" si="6">S17+U17+W17+Y17+Z17</f>
        <v>5867097</v>
      </c>
      <c r="AB17" s="1148">
        <f t="shared" ref="AB17:AB20" si="7">Q17+AA17</f>
        <v>5867097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1443</v>
      </c>
      <c r="F18" s="1127">
        <v>15</v>
      </c>
      <c r="G18" s="1128"/>
      <c r="H18" s="1125">
        <v>5</v>
      </c>
      <c r="I18" s="1127">
        <v>12000</v>
      </c>
      <c r="J18" s="1129">
        <f>(G18+H18)*I18*14</f>
        <v>840000</v>
      </c>
      <c r="K18" s="1149">
        <f>2.5*4335</f>
        <v>10837.5</v>
      </c>
      <c r="L18" s="1127">
        <f t="shared" ref="L18:L19" si="8">K18*F18*G18</f>
        <v>0</v>
      </c>
      <c r="M18" s="1124">
        <f>2*4335</f>
        <v>8670</v>
      </c>
      <c r="N18" s="1124">
        <f t="shared" ref="N18:N19" si="9">M18*H18*F18</f>
        <v>650250</v>
      </c>
      <c r="O18" s="1124">
        <v>10000</v>
      </c>
      <c r="P18" s="1124">
        <f>O18*(H18+G18)*2</f>
        <v>100000</v>
      </c>
      <c r="Q18" s="1124">
        <f t="shared" si="4"/>
        <v>1590250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1590250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1443</v>
      </c>
      <c r="F19" s="1127">
        <v>15</v>
      </c>
      <c r="G19" s="1128"/>
      <c r="H19" s="1125">
        <v>5</v>
      </c>
      <c r="I19" s="1127">
        <v>12000</v>
      </c>
      <c r="J19" s="1129">
        <f>(G19+H19)*I19*14</f>
        <v>840000</v>
      </c>
      <c r="K19" s="1149">
        <f>2.5*4335</f>
        <v>10837.5</v>
      </c>
      <c r="L19" s="1127">
        <f t="shared" si="8"/>
        <v>0</v>
      </c>
      <c r="M19" s="1124">
        <f>2*4335</f>
        <v>8670</v>
      </c>
      <c r="N19" s="1124">
        <f t="shared" si="9"/>
        <v>650250</v>
      </c>
      <c r="O19" s="1124">
        <v>10000</v>
      </c>
      <c r="P19" s="1124">
        <f>O19*(H19+G19)*2</f>
        <v>100000</v>
      </c>
      <c r="Q19" s="1124">
        <f t="shared" si="4"/>
        <v>1590250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1590250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/>
      <c r="H20" s="1125">
        <v>5</v>
      </c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80*$AB$4</f>
        <v>36037.600000000006</v>
      </c>
      <c r="S20" s="1131">
        <f>R20*F20*(G20+H20)</f>
        <v>1081128.0000000002</v>
      </c>
      <c r="T20" s="1130">
        <v>28000</v>
      </c>
      <c r="U20" s="1131">
        <f>T20*F20*(G20+H20)</f>
        <v>840000</v>
      </c>
      <c r="V20" s="54">
        <v>1029</v>
      </c>
      <c r="W20" s="1131">
        <f t="shared" si="5"/>
        <v>30870</v>
      </c>
      <c r="X20" s="1130">
        <v>580237</v>
      </c>
      <c r="Y20" s="1131">
        <f>X20*(G20+H20)</f>
        <v>2901185</v>
      </c>
      <c r="Z20" s="1130">
        <f>67.5*$AB$4*(G20+H20)</f>
        <v>152033.625</v>
      </c>
      <c r="AA20" s="1135">
        <f t="shared" si="6"/>
        <v>5005216.625</v>
      </c>
      <c r="AB20" s="1148">
        <f t="shared" si="7"/>
        <v>5005216.625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1680000</v>
      </c>
      <c r="K21" s="1152"/>
      <c r="L21" s="1152">
        <f>SUM(L17:L20)</f>
        <v>0</v>
      </c>
      <c r="M21" s="1152"/>
      <c r="N21" s="1152">
        <f>SUM(N17:N20)</f>
        <v>1300500</v>
      </c>
      <c r="O21" s="1152"/>
      <c r="P21" s="1152">
        <f>SUM(P17:P20)</f>
        <v>200000</v>
      </c>
      <c r="Q21" s="1152">
        <f>SUM(Q17:Q20)</f>
        <v>3180500</v>
      </c>
      <c r="R21" s="1152"/>
      <c r="S21" s="1152">
        <f>SUM(S17:S20)</f>
        <v>3603760.0000000009</v>
      </c>
      <c r="T21" s="1152"/>
      <c r="U21" s="1152">
        <f>SUM(U17:U20)</f>
        <v>2800000</v>
      </c>
      <c r="V21" s="1152"/>
      <c r="W21" s="1152">
        <f>SUM(W17:W20)</f>
        <v>76860</v>
      </c>
      <c r="X21" s="1152"/>
      <c r="Y21" s="1152">
        <f>SUM(Y17:Y20)</f>
        <v>4239660</v>
      </c>
      <c r="Z21" s="1152">
        <f>SUM(Z17:Z20)</f>
        <v>152033.625</v>
      </c>
      <c r="AA21" s="1152">
        <f>SUM(AA17:AA20)</f>
        <v>10872313.625</v>
      </c>
      <c r="AB21" s="1152">
        <f>SUM(AB17:AB20)</f>
        <v>14052813.625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/>
      <c r="H23" s="1149">
        <v>2</v>
      </c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432451.20000000007</v>
      </c>
      <c r="T23" s="1130">
        <v>28000</v>
      </c>
      <c r="U23" s="1127">
        <f>T23*F23*(G23+H23)</f>
        <v>336000</v>
      </c>
      <c r="V23" s="1132">
        <v>1029</v>
      </c>
      <c r="W23" s="1127">
        <f t="shared" ref="W23:W28" si="11">V23*(G23+H23)*F23</f>
        <v>12348</v>
      </c>
      <c r="X23" s="1132">
        <v>384356</v>
      </c>
      <c r="Y23" s="1131">
        <f>X23*(G23+H23)</f>
        <v>768712</v>
      </c>
      <c r="Z23" s="1130"/>
      <c r="AA23" s="1135">
        <f t="shared" ref="AA23:AA28" si="12">S23+U23+W23+Y23+Z23</f>
        <v>1549511.2000000002</v>
      </c>
      <c r="AB23" s="1149">
        <f t="shared" ref="AB23:AB28" si="13">Q23+AA23</f>
        <v>1549511.2000000002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1442</v>
      </c>
      <c r="F24" s="1127">
        <v>15</v>
      </c>
      <c r="G24" s="1149"/>
      <c r="H24" s="1149">
        <v>2</v>
      </c>
      <c r="I24" s="1127">
        <v>12000</v>
      </c>
      <c r="J24" s="1129">
        <f t="shared" ref="J24" si="14">(G24+H24)*I24*F24</f>
        <v>360000</v>
      </c>
      <c r="K24" s="1149">
        <f>2.5*4335</f>
        <v>10837.5</v>
      </c>
      <c r="L24" s="1127">
        <f t="shared" ref="L24" si="15">K24*F24*G24</f>
        <v>0</v>
      </c>
      <c r="M24" s="1124">
        <f>2*4335</f>
        <v>8670</v>
      </c>
      <c r="N24" s="1124">
        <f t="shared" ref="N24" si="16">M24*H24*F24</f>
        <v>260100</v>
      </c>
      <c r="O24" s="1124">
        <v>10000</v>
      </c>
      <c r="P24" s="1124">
        <f>O24*(H24+G24)*2</f>
        <v>40000</v>
      </c>
      <c r="Q24" s="1124">
        <f t="shared" si="10"/>
        <v>660100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660100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/>
      <c r="H25" s="1149">
        <v>2</v>
      </c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432451.20000000007</v>
      </c>
      <c r="T25" s="1130">
        <v>28000</v>
      </c>
      <c r="U25" s="1127">
        <f>T25*F25*(G25+H25)</f>
        <v>336000</v>
      </c>
      <c r="V25" s="1132">
        <v>1889</v>
      </c>
      <c r="W25" s="1127">
        <f t="shared" si="11"/>
        <v>22668</v>
      </c>
      <c r="X25" s="1132">
        <v>805167</v>
      </c>
      <c r="Y25" s="1127">
        <f>X25*(G25+H25)</f>
        <v>1610334</v>
      </c>
      <c r="Z25" s="1130">
        <f>80*$AB$5*(G25+H25)</f>
        <v>78209.600000000006</v>
      </c>
      <c r="AA25" s="1149">
        <f t="shared" si="12"/>
        <v>2479662.8000000003</v>
      </c>
      <c r="AB25" s="1149">
        <f t="shared" si="13"/>
        <v>2479662.8000000003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/>
      <c r="H26" s="1149">
        <v>2</v>
      </c>
      <c r="I26" s="1127">
        <v>12000</v>
      </c>
      <c r="J26" s="1129">
        <f t="shared" ref="J26:J27" si="17">(G26+H26)*I26*F26</f>
        <v>360000</v>
      </c>
      <c r="K26" s="1149">
        <f>2.5*4335</f>
        <v>10837.5</v>
      </c>
      <c r="L26" s="1127">
        <f t="shared" ref="L26:L27" si="18">K26*F26*G26</f>
        <v>0</v>
      </c>
      <c r="M26" s="1124">
        <f>2*4335</f>
        <v>8670</v>
      </c>
      <c r="N26" s="1124">
        <f t="shared" ref="N26:N27" si="19">M26*H26*F26</f>
        <v>260100</v>
      </c>
      <c r="O26" s="1124">
        <v>10000</v>
      </c>
      <c r="P26" s="1124">
        <f>O26*(H26+G26)*2</f>
        <v>40000</v>
      </c>
      <c r="Q26" s="1124">
        <f t="shared" si="10"/>
        <v>660100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660100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1442</v>
      </c>
      <c r="F27" s="1127">
        <v>14</v>
      </c>
      <c r="G27" s="1149"/>
      <c r="H27" s="1149">
        <v>2</v>
      </c>
      <c r="I27" s="1127">
        <v>12000</v>
      </c>
      <c r="J27" s="1137">
        <f t="shared" si="17"/>
        <v>336000</v>
      </c>
      <c r="K27" s="1149">
        <f>2.5*4335</f>
        <v>10837.5</v>
      </c>
      <c r="L27" s="1131">
        <f t="shared" si="18"/>
        <v>0</v>
      </c>
      <c r="M27" s="1138">
        <f>2*4335</f>
        <v>8670</v>
      </c>
      <c r="N27" s="1138">
        <f t="shared" si="19"/>
        <v>242760</v>
      </c>
      <c r="O27" s="1124">
        <v>10000</v>
      </c>
      <c r="P27" s="1124">
        <f>O27*(H27+G27)*2</f>
        <v>40000</v>
      </c>
      <c r="Q27" s="1138">
        <f t="shared" si="10"/>
        <v>618760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618760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/>
      <c r="H28" s="1149">
        <v>2</v>
      </c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504526.40000000008</v>
      </c>
      <c r="T28" s="1130">
        <v>28000</v>
      </c>
      <c r="U28" s="1131">
        <f>T28*F28*(G28+H28)</f>
        <v>392000</v>
      </c>
      <c r="V28" s="1132">
        <v>1889</v>
      </c>
      <c r="W28" s="1131">
        <f t="shared" si="11"/>
        <v>26446</v>
      </c>
      <c r="X28" s="1130">
        <v>685846</v>
      </c>
      <c r="Y28" s="1131">
        <f>X28*(G28+H28)</f>
        <v>1371692</v>
      </c>
      <c r="Z28" s="1130">
        <f>80*$AB$5*(G28+H28)</f>
        <v>78209.600000000006</v>
      </c>
      <c r="AA28" s="1135">
        <f t="shared" si="12"/>
        <v>2372874.0000000005</v>
      </c>
      <c r="AB28" s="1149">
        <f t="shared" si="13"/>
        <v>2372874.0000000005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1056000</v>
      </c>
      <c r="K29" s="1145"/>
      <c r="L29" s="1145">
        <f>SUM(L23:L28)</f>
        <v>0</v>
      </c>
      <c r="M29" s="1145"/>
      <c r="N29" s="1145">
        <f>SUM(N23:N28)</f>
        <v>762960</v>
      </c>
      <c r="O29" s="1213"/>
      <c r="P29" s="1145">
        <f>SUM(P23:P28)</f>
        <v>120000</v>
      </c>
      <c r="Q29" s="1145">
        <f>SUM(Q23:Q28)</f>
        <v>1938960</v>
      </c>
      <c r="R29" s="1228"/>
      <c r="S29" s="1145">
        <f>SUM(S23:S28)</f>
        <v>1369428.8000000003</v>
      </c>
      <c r="T29" s="1228"/>
      <c r="U29" s="1145">
        <f>SUM(U23:U28)</f>
        <v>1064000</v>
      </c>
      <c r="V29" s="1228"/>
      <c r="W29" s="1145">
        <f>SUM(W23:W28)</f>
        <v>61462</v>
      </c>
      <c r="X29" s="1228"/>
      <c r="Y29" s="1145">
        <f>SUM(Y23:Y28)</f>
        <v>3750738</v>
      </c>
      <c r="Z29" s="1145">
        <f>SUM(Z23:Z28)</f>
        <v>156419.20000000001</v>
      </c>
      <c r="AA29" s="1145">
        <f>SUM(AA23:AA28)</f>
        <v>6402048.0000000009</v>
      </c>
      <c r="AB29" s="1145">
        <f>SUM(AB23:AB28)</f>
        <v>8341008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1442</v>
      </c>
      <c r="F31" s="1127">
        <v>15</v>
      </c>
      <c r="G31" s="1129"/>
      <c r="H31" s="1129">
        <v>2</v>
      </c>
      <c r="I31" s="1127">
        <v>12000</v>
      </c>
      <c r="J31" s="1129">
        <f t="shared" ref="J31" si="20">(G31+H31)*I31*F31</f>
        <v>360000</v>
      </c>
      <c r="K31" s="1149">
        <f>2.5*4335</f>
        <v>10837.5</v>
      </c>
      <c r="L31" s="1127">
        <f t="shared" ref="L31" si="21">K31*F31*G31</f>
        <v>0</v>
      </c>
      <c r="M31" s="1124">
        <f>2*4335</f>
        <v>8670</v>
      </c>
      <c r="N31" s="1124">
        <f t="shared" ref="N31" si="22">M31*H31*F31</f>
        <v>260100</v>
      </c>
      <c r="O31" s="1124">
        <v>10000</v>
      </c>
      <c r="P31" s="1124">
        <f>O31*(H31+G31)*2</f>
        <v>40000</v>
      </c>
      <c r="Q31" s="1124">
        <f t="shared" ref="Q31:Q36" si="23">SUM(J31+L31+N31+P31)</f>
        <v>660100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660100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/>
      <c r="H32" s="1149">
        <v>2</v>
      </c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432451.20000000007</v>
      </c>
      <c r="T32" s="1130">
        <v>28000</v>
      </c>
      <c r="U32" s="1127">
        <f>T32*F32*(G32+H32)</f>
        <v>336000</v>
      </c>
      <c r="V32" s="1132">
        <v>1029</v>
      </c>
      <c r="W32" s="1127">
        <f t="shared" si="24"/>
        <v>12348</v>
      </c>
      <c r="X32" s="1132">
        <v>384356</v>
      </c>
      <c r="Y32" s="1131">
        <f>X32*(G32+H32)</f>
        <v>768712</v>
      </c>
      <c r="Z32" s="1130"/>
      <c r="AA32" s="1135">
        <f t="shared" si="25"/>
        <v>1549511.2000000002</v>
      </c>
      <c r="AB32" s="1149">
        <f t="shared" si="26"/>
        <v>1549511.2000000002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/>
      <c r="H33" s="1149">
        <v>2</v>
      </c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432451.20000000007</v>
      </c>
      <c r="T33" s="1130">
        <v>28000</v>
      </c>
      <c r="U33" s="1127">
        <f>T33*F33*(G33+H33)</f>
        <v>336000</v>
      </c>
      <c r="V33" s="1132">
        <v>1889</v>
      </c>
      <c r="W33" s="1127">
        <f t="shared" si="24"/>
        <v>22668</v>
      </c>
      <c r="X33" s="1132">
        <v>805167</v>
      </c>
      <c r="Y33" s="1127">
        <f>X33*(G33+H33)</f>
        <v>1610334</v>
      </c>
      <c r="Z33" s="1130">
        <f>80*$AB$5*(G33+H33)</f>
        <v>78209.600000000006</v>
      </c>
      <c r="AA33" s="1149">
        <f t="shared" si="25"/>
        <v>2479662.8000000003</v>
      </c>
      <c r="AB33" s="1149">
        <f t="shared" si="26"/>
        <v>2479662.8000000003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/>
      <c r="H34" s="1129">
        <v>2</v>
      </c>
      <c r="I34" s="1127">
        <v>12000</v>
      </c>
      <c r="J34" s="1129">
        <f t="shared" ref="J34:J35" si="27">(G34+H34)*I34*F34</f>
        <v>360000</v>
      </c>
      <c r="K34" s="1149">
        <f>2.5*4335</f>
        <v>10837.5</v>
      </c>
      <c r="L34" s="1127">
        <f t="shared" ref="L34:L35" si="28">K34*F34*G34</f>
        <v>0</v>
      </c>
      <c r="M34" s="1124">
        <f>2*4335</f>
        <v>8670</v>
      </c>
      <c r="N34" s="1124">
        <f t="shared" ref="N34:N35" si="29">M34*H34*F34</f>
        <v>260100</v>
      </c>
      <c r="O34" s="1124">
        <v>10000</v>
      </c>
      <c r="P34" s="1124">
        <f>O34*(H34+G34)*2</f>
        <v>40000</v>
      </c>
      <c r="Q34" s="1124">
        <f t="shared" si="23"/>
        <v>660100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660100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1442</v>
      </c>
      <c r="F35" s="1127">
        <v>14</v>
      </c>
      <c r="G35" s="1129"/>
      <c r="H35" s="1129">
        <v>2</v>
      </c>
      <c r="I35" s="1127">
        <v>12000</v>
      </c>
      <c r="J35" s="1129">
        <f t="shared" si="27"/>
        <v>336000</v>
      </c>
      <c r="K35" s="1149">
        <f>2.5*4335</f>
        <v>10837.5</v>
      </c>
      <c r="L35" s="1127">
        <f t="shared" si="28"/>
        <v>0</v>
      </c>
      <c r="M35" s="1124">
        <f>2*4335</f>
        <v>8670</v>
      </c>
      <c r="N35" s="1124">
        <f t="shared" si="29"/>
        <v>242760</v>
      </c>
      <c r="O35" s="1124">
        <v>10000</v>
      </c>
      <c r="P35" s="1124">
        <f>O35*(H35+G35)*2</f>
        <v>40000</v>
      </c>
      <c r="Q35" s="1124">
        <f t="shared" si="23"/>
        <v>618760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618760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/>
      <c r="H36" s="1129">
        <v>2</v>
      </c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504526.40000000008</v>
      </c>
      <c r="T36" s="1130">
        <v>28000</v>
      </c>
      <c r="U36" s="1131">
        <f>T36*F36*(G36+H36)</f>
        <v>392000</v>
      </c>
      <c r="V36" s="1132">
        <v>1889</v>
      </c>
      <c r="W36" s="1131">
        <f t="shared" si="24"/>
        <v>26446</v>
      </c>
      <c r="X36" s="1130">
        <v>685846</v>
      </c>
      <c r="Y36" s="1131">
        <f>X36*(G36+H36)</f>
        <v>1371692</v>
      </c>
      <c r="Z36" s="1130">
        <f>80*$AB$5*(G36+H36)</f>
        <v>78209.600000000006</v>
      </c>
      <c r="AA36" s="1135">
        <f t="shared" si="25"/>
        <v>2372874.0000000005</v>
      </c>
      <c r="AB36" s="1149">
        <f t="shared" si="26"/>
        <v>2372874.0000000005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1056000</v>
      </c>
      <c r="K37" s="1152"/>
      <c r="L37" s="1152">
        <f>SUM(L31:L36)</f>
        <v>0</v>
      </c>
      <c r="M37" s="1152"/>
      <c r="N37" s="1152">
        <f>SUM(N31:N36)</f>
        <v>762960</v>
      </c>
      <c r="O37" s="1152"/>
      <c r="P37" s="1152">
        <f>SUM(P31:P36)</f>
        <v>120000</v>
      </c>
      <c r="Q37" s="1152">
        <f>SUM(Q31:Q36)</f>
        <v>1938960</v>
      </c>
      <c r="R37" s="1152"/>
      <c r="S37" s="1152">
        <f>SUM(S31:S36)</f>
        <v>1369428.8000000003</v>
      </c>
      <c r="T37" s="1152"/>
      <c r="U37" s="1152">
        <f>SUM(U31:U36)</f>
        <v>1064000</v>
      </c>
      <c r="V37" s="1152"/>
      <c r="W37" s="1152">
        <f>SUM(W31:W36)</f>
        <v>61462</v>
      </c>
      <c r="X37" s="1152"/>
      <c r="Y37" s="1152">
        <f>SUM(Y31:Y36)</f>
        <v>3750738</v>
      </c>
      <c r="Z37" s="1152">
        <f>SUM(Z31:Z36)</f>
        <v>156419.20000000001</v>
      </c>
      <c r="AA37" s="1152">
        <f>SUM(AA31:AA36)</f>
        <v>6402048.0000000009</v>
      </c>
      <c r="AB37" s="1152">
        <f>SUM(AB31:AB36)</f>
        <v>8341008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/>
      <c r="H39" s="1157">
        <v>2</v>
      </c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432451.20000000007</v>
      </c>
      <c r="T39" s="1130">
        <v>28000</v>
      </c>
      <c r="U39" s="1131">
        <f>T39*F39*(G39+H39)</f>
        <v>336000</v>
      </c>
      <c r="V39" s="1130">
        <v>657</v>
      </c>
      <c r="W39" s="1131">
        <f t="shared" ref="W39:W43" si="31">V39*(G39+H39)*F39</f>
        <v>7884</v>
      </c>
      <c r="X39" s="1132">
        <v>366914</v>
      </c>
      <c r="Y39" s="1131">
        <f>X39*(G39+H39)</f>
        <v>733828</v>
      </c>
      <c r="Z39" s="1130"/>
      <c r="AA39" s="1135">
        <f t="shared" ref="AA39:AA43" si="32">S39+U39+W39+Y39+Z39</f>
        <v>1510163.2000000002</v>
      </c>
      <c r="AB39" s="1135">
        <f>AA39+Q39</f>
        <v>1510163.2000000002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/>
      <c r="H40" s="1157">
        <v>2</v>
      </c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432451.20000000007</v>
      </c>
      <c r="T40" s="1130">
        <v>28000</v>
      </c>
      <c r="U40" s="1131">
        <f>T40*F40*(G40+H40)</f>
        <v>336000</v>
      </c>
      <c r="V40" s="1130">
        <v>1889</v>
      </c>
      <c r="W40" s="1131">
        <f t="shared" si="31"/>
        <v>22668</v>
      </c>
      <c r="X40" s="1130">
        <v>685846</v>
      </c>
      <c r="Y40" s="1131">
        <f>X40*(G40+H40)</f>
        <v>1371692</v>
      </c>
      <c r="Z40" s="1130">
        <f>80*$AB$5*(G40+H40)</f>
        <v>78209.600000000006</v>
      </c>
      <c r="AA40" s="1135">
        <f t="shared" si="32"/>
        <v>2241020.8000000003</v>
      </c>
      <c r="AB40" s="1135">
        <f t="shared" ref="AB40:AB43" si="33">AA40+Q40</f>
        <v>2241020.8000000003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/>
      <c r="H41" s="1157">
        <v>2</v>
      </c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720752.00000000012</v>
      </c>
      <c r="T41" s="1130">
        <v>28000</v>
      </c>
      <c r="U41" s="1138">
        <f>T41*F41*(G41+H41)</f>
        <v>560000</v>
      </c>
      <c r="V41" s="1138">
        <v>657</v>
      </c>
      <c r="W41" s="1138">
        <f t="shared" si="31"/>
        <v>13140</v>
      </c>
      <c r="X41" s="1130">
        <v>305578</v>
      </c>
      <c r="Y41" s="1138">
        <f>X41*(G41+H41)</f>
        <v>611156</v>
      </c>
      <c r="Z41" s="1138"/>
      <c r="AA41" s="1135">
        <f t="shared" si="32"/>
        <v>1905048</v>
      </c>
      <c r="AB41" s="1135">
        <f t="shared" si="33"/>
        <v>1905048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/>
      <c r="H42" s="1157">
        <v>2</v>
      </c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432451.20000000007</v>
      </c>
      <c r="T42" s="1130">
        <v>28000</v>
      </c>
      <c r="U42" s="1131">
        <f>T42*F42*(G42+H42)</f>
        <v>336000</v>
      </c>
      <c r="V42" s="1130">
        <v>1889</v>
      </c>
      <c r="W42" s="1131">
        <f t="shared" si="31"/>
        <v>22668</v>
      </c>
      <c r="X42" s="1130">
        <v>475984</v>
      </c>
      <c r="Y42" s="1131">
        <f>X42*(G42+H42)</f>
        <v>951968</v>
      </c>
      <c r="Z42" s="1130">
        <f>80*$AB$5*(G42+H42)</f>
        <v>78209.600000000006</v>
      </c>
      <c r="AA42" s="1135">
        <f t="shared" si="32"/>
        <v>1821296.8000000003</v>
      </c>
      <c r="AB42" s="1135">
        <f t="shared" si="33"/>
        <v>1821296.8000000003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/>
      <c r="H43" s="1157">
        <v>2</v>
      </c>
      <c r="I43" s="1127">
        <v>12000</v>
      </c>
      <c r="J43" s="1137">
        <f t="shared" ref="J43" si="34">(G43+H43)*I43*F43</f>
        <v>336000</v>
      </c>
      <c r="K43" s="1149">
        <f>2.5*4335</f>
        <v>10837.5</v>
      </c>
      <c r="L43" s="1131">
        <f t="shared" ref="L43" si="35">K43*F43*G43</f>
        <v>0</v>
      </c>
      <c r="M43" s="1138">
        <f>2*4335</f>
        <v>8670</v>
      </c>
      <c r="N43" s="1138">
        <f t="shared" ref="N43" si="36">M43*H43*F43</f>
        <v>242760</v>
      </c>
      <c r="O43" s="1138">
        <v>10000</v>
      </c>
      <c r="P43" s="1124">
        <f>O43*(H43+G43)*2</f>
        <v>40000</v>
      </c>
      <c r="Q43" s="1124">
        <f t="shared" si="30"/>
        <v>618760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618760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336000</v>
      </c>
      <c r="K44" s="1145"/>
      <c r="L44" s="1145">
        <f>SUM(L39:L43)</f>
        <v>0</v>
      </c>
      <c r="M44" s="1145"/>
      <c r="N44" s="1145">
        <f>SUM(N39:N43)</f>
        <v>242760</v>
      </c>
      <c r="O44" s="1213"/>
      <c r="P44" s="1145">
        <f>SUM(P39:P43)</f>
        <v>40000</v>
      </c>
      <c r="Q44" s="1145">
        <f>SUM(Q39:Q43)</f>
        <v>618760</v>
      </c>
      <c r="R44" s="1228"/>
      <c r="S44" s="1145">
        <f>SUM(S39:S43)</f>
        <v>2018105.6000000006</v>
      </c>
      <c r="T44" s="1228"/>
      <c r="U44" s="1145">
        <f>SUM(U39:U43)</f>
        <v>1568000</v>
      </c>
      <c r="V44" s="1228"/>
      <c r="W44" s="1145">
        <f>SUM(W39:W43)</f>
        <v>66360</v>
      </c>
      <c r="X44" s="1228"/>
      <c r="Y44" s="1145">
        <f>SUM(Y39:Y43)</f>
        <v>3668644</v>
      </c>
      <c r="Z44" s="1145">
        <f>SUM(Z39:Z43)</f>
        <v>156419.20000000001</v>
      </c>
      <c r="AA44" s="1145">
        <f>SUM(AA39:AA43)</f>
        <v>7477528.8000000007</v>
      </c>
      <c r="AB44" s="1145">
        <f>SUM(AB39:AB43)</f>
        <v>8096288.8000000007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/>
      <c r="H46" s="1159">
        <v>3</v>
      </c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648676.80000000005</v>
      </c>
      <c r="T46" s="1130">
        <v>28000</v>
      </c>
      <c r="U46" s="1131">
        <f>T46*F46*(G46+H46)</f>
        <v>504000</v>
      </c>
      <c r="V46" s="1130">
        <v>1889</v>
      </c>
      <c r="W46" s="1131">
        <f t="shared" ref="W46:W49" si="37">V46*(G46+H46)*F46</f>
        <v>34002</v>
      </c>
      <c r="X46" s="1130">
        <v>475984</v>
      </c>
      <c r="Y46" s="1131">
        <f>X46*(G46+H46)</f>
        <v>1427952</v>
      </c>
      <c r="Z46" s="1130">
        <f>80*$AB$5*(G46+H46)</f>
        <v>117314.40000000001</v>
      </c>
      <c r="AA46" s="1135">
        <f t="shared" ref="AA46:AA49" si="38">S46+U46+W46+Y46+Z46</f>
        <v>2731945.1999999997</v>
      </c>
      <c r="AB46" s="1135">
        <f>AA46+Q46</f>
        <v>2731945.1999999997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/>
      <c r="H47" s="1159">
        <v>3</v>
      </c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648676.80000000005</v>
      </c>
      <c r="T47" s="1130">
        <v>28000</v>
      </c>
      <c r="U47" s="1131">
        <f>T47*F47*(G47+H47)</f>
        <v>504000</v>
      </c>
      <c r="V47" s="1130">
        <v>1889</v>
      </c>
      <c r="W47" s="1131">
        <f t="shared" si="37"/>
        <v>34002</v>
      </c>
      <c r="X47" s="1130">
        <v>685846</v>
      </c>
      <c r="Y47" s="1131">
        <f>X47*(G47+H47)</f>
        <v>2057538</v>
      </c>
      <c r="Z47" s="1130">
        <f>80*$AB$5*(G47+H47)</f>
        <v>117314.40000000001</v>
      </c>
      <c r="AA47" s="1135">
        <f t="shared" si="38"/>
        <v>3361531.1999999997</v>
      </c>
      <c r="AB47" s="1135">
        <f>AA47+Q47</f>
        <v>3361531.1999999997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/>
      <c r="H48" s="1159">
        <v>3</v>
      </c>
      <c r="I48" s="1127">
        <v>12000</v>
      </c>
      <c r="J48" s="1137">
        <f>(G48+H48)*I48*F48</f>
        <v>504000</v>
      </c>
      <c r="K48" s="1149">
        <f>2.5*4335</f>
        <v>10837.5</v>
      </c>
      <c r="L48" s="1131">
        <f>K48*F48*G48</f>
        <v>0</v>
      </c>
      <c r="M48" s="1138">
        <f>2*4335</f>
        <v>8670</v>
      </c>
      <c r="N48" s="1138">
        <f>M48*H48*F48</f>
        <v>364140</v>
      </c>
      <c r="O48" s="1138">
        <v>10000</v>
      </c>
      <c r="P48" s="1124">
        <f>O48*(H48+G48)*2</f>
        <v>60000</v>
      </c>
      <c r="Q48" s="1124">
        <f t="shared" si="39"/>
        <v>928140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928140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/>
      <c r="H49" s="1159">
        <v>4</v>
      </c>
      <c r="I49" s="1127">
        <v>12000</v>
      </c>
      <c r="J49" s="1137">
        <f>(G49+H49)*I49*F49</f>
        <v>672000</v>
      </c>
      <c r="K49" s="1149">
        <f>2.5*4335</f>
        <v>10837.5</v>
      </c>
      <c r="L49" s="1131">
        <f>K49*F49*G49</f>
        <v>0</v>
      </c>
      <c r="M49" s="1138">
        <f>2*4335</f>
        <v>8670</v>
      </c>
      <c r="N49" s="1138">
        <f>M49*H49*F49</f>
        <v>485520</v>
      </c>
      <c r="O49" s="1138">
        <v>10000</v>
      </c>
      <c r="P49" s="1124">
        <f>O49*(H49+G49)*2</f>
        <v>80000</v>
      </c>
      <c r="Q49" s="1124">
        <f t="shared" si="39"/>
        <v>1237520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1237520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1176000</v>
      </c>
      <c r="K50" s="1163"/>
      <c r="L50" s="1162">
        <f>SUM(L46:L49)</f>
        <v>0</v>
      </c>
      <c r="M50" s="1163"/>
      <c r="N50" s="1162">
        <f>SUM(N46:N49)</f>
        <v>849660</v>
      </c>
      <c r="O50" s="1163"/>
      <c r="P50" s="1162">
        <f>SUM(P46:P49)</f>
        <v>140000</v>
      </c>
      <c r="Q50" s="1162">
        <f>SUM(Q46:Q49)</f>
        <v>2165660</v>
      </c>
      <c r="R50" s="1164"/>
      <c r="S50" s="1162">
        <f>SUM(S46:S49)</f>
        <v>1297353.6000000001</v>
      </c>
      <c r="T50" s="1164"/>
      <c r="U50" s="1162">
        <f>SUM(U46:U49)</f>
        <v>1008000</v>
      </c>
      <c r="V50" s="1164"/>
      <c r="W50" s="1162">
        <f>SUM(W46:W49)</f>
        <v>68004</v>
      </c>
      <c r="X50" s="1164"/>
      <c r="Y50" s="1162">
        <f>SUM(Y46:Y49)</f>
        <v>3485490</v>
      </c>
      <c r="Z50" s="1162">
        <f>SUM(Z46:Z49)</f>
        <v>234628.80000000002</v>
      </c>
      <c r="AA50" s="1162">
        <f>SUM(AA46:AA49)</f>
        <v>6093476.3999999994</v>
      </c>
      <c r="AB50" s="1162">
        <f>SUM(AB46:AB49)</f>
        <v>8259136.3999999994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1441</v>
      </c>
      <c r="F52" s="1166">
        <v>10</v>
      </c>
      <c r="G52" s="1166"/>
      <c r="H52" s="1149">
        <v>2</v>
      </c>
      <c r="I52" s="1127">
        <v>12000</v>
      </c>
      <c r="J52" s="1137">
        <f t="shared" ref="J52" si="40">(G52+H52)*I52*F52</f>
        <v>240000</v>
      </c>
      <c r="K52" s="1149">
        <f>2.5*4335</f>
        <v>10837.5</v>
      </c>
      <c r="L52" s="1131">
        <f t="shared" ref="L52" si="41">K52*F52*G52</f>
        <v>0</v>
      </c>
      <c r="M52" s="1138">
        <f>2*4335</f>
        <v>8670</v>
      </c>
      <c r="N52" s="1138">
        <f t="shared" ref="N52" si="42">M52*H52*F52</f>
        <v>173400</v>
      </c>
      <c r="O52" s="1133">
        <v>10000</v>
      </c>
      <c r="P52" s="1124">
        <f>O52*(H52+G52)*2</f>
        <v>40000</v>
      </c>
      <c r="Q52" s="1138">
        <f t="shared" ref="Q52:Q56" si="43">SUM(J52+L52+N52+P52)</f>
        <v>453400</v>
      </c>
      <c r="R52" s="1166"/>
      <c r="S52" s="1149"/>
      <c r="T52" s="1166"/>
      <c r="U52" s="1149"/>
      <c r="V52" s="1133"/>
      <c r="W52" s="1133">
        <f t="shared" ref="W52:W56" si="44">V52*(G52+H52)*F52</f>
        <v>0</v>
      </c>
      <c r="X52" s="1133"/>
      <c r="Y52" s="1133"/>
      <c r="Z52" s="1133"/>
      <c r="AA52" s="1149">
        <f t="shared" ref="AA52:AA56" si="45">S52+U52+W52+Y52+Z52</f>
        <v>0</v>
      </c>
      <c r="AB52" s="1149">
        <f t="shared" ref="AB52:AB56" si="46">AA52+Q52</f>
        <v>453400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/>
      <c r="H53" s="1149">
        <v>2</v>
      </c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504526.40000000008</v>
      </c>
      <c r="T53" s="1130">
        <v>28000</v>
      </c>
      <c r="U53" s="1149">
        <f>T53*F53*(G53+H53)</f>
        <v>392000</v>
      </c>
      <c r="V53" s="1133">
        <v>1889</v>
      </c>
      <c r="W53" s="1133">
        <f t="shared" si="44"/>
        <v>26446</v>
      </c>
      <c r="X53" s="1133">
        <v>805167</v>
      </c>
      <c r="Y53" s="1133">
        <f>X53*(G53+H53)</f>
        <v>1610334</v>
      </c>
      <c r="Z53" s="1130">
        <f>80*$AB$5*(G53+H53)</f>
        <v>78209.600000000006</v>
      </c>
      <c r="AA53" s="1149">
        <f t="shared" si="45"/>
        <v>2611516.0000000005</v>
      </c>
      <c r="AB53" s="1149">
        <f t="shared" si="46"/>
        <v>2611516.0000000005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1441</v>
      </c>
      <c r="F54" s="1166">
        <v>10</v>
      </c>
      <c r="G54" s="1167"/>
      <c r="H54" s="1149">
        <v>2</v>
      </c>
      <c r="I54" s="1127">
        <v>12000</v>
      </c>
      <c r="J54" s="1149">
        <f t="shared" ref="J54" si="47">(G54+H54)*I54*F54</f>
        <v>240000</v>
      </c>
      <c r="K54" s="1149">
        <f>2.5*4335</f>
        <v>10837.5</v>
      </c>
      <c r="L54" s="1149">
        <f t="shared" ref="L54" si="48">K54*F54*G54</f>
        <v>0</v>
      </c>
      <c r="M54" s="1149">
        <f>2*4335</f>
        <v>8670</v>
      </c>
      <c r="N54" s="1149">
        <f t="shared" ref="N54" si="49">M54*H54*F54</f>
        <v>173400</v>
      </c>
      <c r="O54" s="1133">
        <v>10000</v>
      </c>
      <c r="P54" s="1124">
        <f>O54*(H54+G54)*2</f>
        <v>40000</v>
      </c>
      <c r="Q54" s="1149">
        <f t="shared" si="43"/>
        <v>453400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453400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/>
      <c r="H55" s="1149">
        <v>2</v>
      </c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504526.40000000008</v>
      </c>
      <c r="T55" s="1130">
        <v>28000</v>
      </c>
      <c r="U55" s="1149">
        <f>T55*F55*(G55+H55)</f>
        <v>392000</v>
      </c>
      <c r="V55" s="1133">
        <v>1889</v>
      </c>
      <c r="W55" s="1133">
        <f t="shared" si="44"/>
        <v>26446</v>
      </c>
      <c r="X55" s="1133">
        <v>646916</v>
      </c>
      <c r="Y55" s="1133">
        <f>X55*(G55+H55)</f>
        <v>1293832</v>
      </c>
      <c r="Z55" s="1130">
        <f>80*$AB$5*(G55+H55)</f>
        <v>78209.600000000006</v>
      </c>
      <c r="AA55" s="1149">
        <f t="shared" si="45"/>
        <v>2295014.0000000005</v>
      </c>
      <c r="AB55" s="1149">
        <f t="shared" si="46"/>
        <v>2295014.0000000005</v>
      </c>
    </row>
    <row r="56" spans="1:29" ht="37.5">
      <c r="A56" s="1165">
        <v>34</v>
      </c>
      <c r="B56" s="1129">
        <v>5</v>
      </c>
      <c r="C56" s="1136" t="s">
        <v>383</v>
      </c>
      <c r="D56" s="1132" t="s">
        <v>1372</v>
      </c>
      <c r="E56" s="1132" t="s">
        <v>1373</v>
      </c>
      <c r="F56" s="1166">
        <v>7</v>
      </c>
      <c r="G56" s="1166"/>
      <c r="H56" s="1149">
        <v>2</v>
      </c>
      <c r="I56" s="1149"/>
      <c r="J56" s="1137"/>
      <c r="K56" s="1149"/>
      <c r="L56" s="1131"/>
      <c r="M56" s="1138"/>
      <c r="N56" s="1138"/>
      <c r="O56" s="1133"/>
      <c r="P56" s="1124"/>
      <c r="Q56" s="1138">
        <f t="shared" si="43"/>
        <v>0</v>
      </c>
      <c r="R56" s="1130">
        <f>80*$AB$4</f>
        <v>36037.600000000006</v>
      </c>
      <c r="S56" s="1149">
        <f>R56*F56*(G56+H56)</f>
        <v>504526.40000000008</v>
      </c>
      <c r="T56" s="1130">
        <v>28000</v>
      </c>
      <c r="U56" s="1149">
        <f>T56*F56*(G56+H56)</f>
        <v>392000</v>
      </c>
      <c r="V56" s="1133">
        <v>657</v>
      </c>
      <c r="W56" s="1133">
        <f t="shared" si="44"/>
        <v>9198</v>
      </c>
      <c r="X56" s="1133">
        <v>267695</v>
      </c>
      <c r="Y56" s="1133">
        <f>X56*(G56+H56)</f>
        <v>535390</v>
      </c>
      <c r="Z56" s="1133"/>
      <c r="AA56" s="1149">
        <f t="shared" si="45"/>
        <v>1441114.4000000001</v>
      </c>
      <c r="AB56" s="1149">
        <f t="shared" si="46"/>
        <v>1441114.4000000001</v>
      </c>
    </row>
    <row r="57" spans="1:29">
      <c r="A57" s="1807" t="s">
        <v>38</v>
      </c>
      <c r="B57" s="1807"/>
      <c r="C57" s="1807"/>
      <c r="D57" s="1807"/>
      <c r="E57" s="1807"/>
      <c r="F57" s="1807"/>
      <c r="G57" s="1807"/>
      <c r="H57" s="1807"/>
      <c r="I57" s="1168"/>
      <c r="J57" s="1169">
        <f>SUM(J52:J56)</f>
        <v>480000</v>
      </c>
      <c r="K57" s="1169"/>
      <c r="L57" s="1169">
        <f>SUM(L52:L56)</f>
        <v>0</v>
      </c>
      <c r="M57" s="1169"/>
      <c r="N57" s="1169">
        <f>SUM(N52:N56)</f>
        <v>346800</v>
      </c>
      <c r="O57" s="1170"/>
      <c r="P57" s="1169">
        <f>SUM(P52:P56)</f>
        <v>80000</v>
      </c>
      <c r="Q57" s="1169">
        <f>SUM(Q52:Q56)</f>
        <v>906800</v>
      </c>
      <c r="R57" s="1171"/>
      <c r="S57" s="1169">
        <f>SUM(S52:S56)</f>
        <v>1513579.2000000002</v>
      </c>
      <c r="T57" s="1171"/>
      <c r="U57" s="1169">
        <f>SUM(U52:U56)</f>
        <v>1176000</v>
      </c>
      <c r="V57" s="1170"/>
      <c r="W57" s="1169">
        <f>SUM(W52:W56)</f>
        <v>62090</v>
      </c>
      <c r="X57" s="1170"/>
      <c r="Y57" s="1169">
        <f>SUM(Y52:Y56)</f>
        <v>3439556</v>
      </c>
      <c r="Z57" s="1169">
        <f>SUM(Z52:Z56)</f>
        <v>156419.20000000001</v>
      </c>
      <c r="AA57" s="1169">
        <f>SUM(AA52:AA56)</f>
        <v>6347644.4000000013</v>
      </c>
      <c r="AB57" s="1169">
        <f>SUM(AB52:AB56)</f>
        <v>7254444.4000000013</v>
      </c>
      <c r="AC57" s="1120">
        <f>AB57-AA57-Q57</f>
        <v>0</v>
      </c>
    </row>
    <row r="58" spans="1:29">
      <c r="A58" s="1818" t="s">
        <v>1156</v>
      </c>
      <c r="B58" s="1818"/>
      <c r="C58" s="1818"/>
      <c r="D58" s="1818"/>
      <c r="E58" s="1818"/>
      <c r="F58" s="1818"/>
      <c r="G58" s="1818"/>
      <c r="H58" s="1818"/>
      <c r="I58" s="1818"/>
      <c r="J58" s="1818"/>
      <c r="K58" s="1818"/>
      <c r="L58" s="1818"/>
      <c r="M58" s="1818"/>
      <c r="N58" s="1818"/>
      <c r="O58" s="1818"/>
      <c r="P58" s="1818"/>
      <c r="Q58" s="1818"/>
      <c r="R58" s="1818"/>
      <c r="S58" s="1818"/>
      <c r="T58" s="1818"/>
      <c r="U58" s="1818"/>
      <c r="V58" s="1818"/>
      <c r="W58" s="1818"/>
      <c r="X58" s="1818"/>
      <c r="Y58" s="1818"/>
      <c r="Z58" s="1818"/>
      <c r="AA58" s="1818"/>
      <c r="AB58" s="1818"/>
    </row>
    <row r="59" spans="1:29" ht="140.25" customHeight="1">
      <c r="A59" s="1165">
        <v>35</v>
      </c>
      <c r="B59" s="1129">
        <v>1</v>
      </c>
      <c r="C59" s="1158" t="s">
        <v>1338</v>
      </c>
      <c r="D59" s="1132" t="s">
        <v>1339</v>
      </c>
      <c r="E59" s="1132" t="s">
        <v>1441</v>
      </c>
      <c r="F59" s="1166">
        <v>15</v>
      </c>
      <c r="G59" s="1166"/>
      <c r="H59" s="1149">
        <v>4</v>
      </c>
      <c r="I59" s="1127">
        <v>12000</v>
      </c>
      <c r="J59" s="1137">
        <f t="shared" ref="J59:J60" si="50">(G59+H59)*I59*F59</f>
        <v>720000</v>
      </c>
      <c r="K59" s="1149">
        <f>2.5*4335</f>
        <v>10837.5</v>
      </c>
      <c r="L59" s="1131">
        <f t="shared" ref="L59:L60" si="51">K59*F59*G59</f>
        <v>0</v>
      </c>
      <c r="M59" s="1138">
        <f>2*4335</f>
        <v>8670</v>
      </c>
      <c r="N59" s="1138">
        <f t="shared" ref="N59:N60" si="52">M59*H59*F59</f>
        <v>520200</v>
      </c>
      <c r="O59" s="1133">
        <v>10000</v>
      </c>
      <c r="P59" s="1124">
        <f>O59*(H59+G59)*2</f>
        <v>80000</v>
      </c>
      <c r="Q59" s="1138">
        <f t="shared" ref="Q59:Q63" si="53">SUM(J59+L59+N59+P59)</f>
        <v>1320200</v>
      </c>
      <c r="R59" s="1166"/>
      <c r="S59" s="1149"/>
      <c r="T59" s="1166"/>
      <c r="U59" s="1149"/>
      <c r="V59" s="1133"/>
      <c r="W59" s="1133">
        <f t="shared" ref="W59:W63" si="54">V59*(G59+H59)*F59</f>
        <v>0</v>
      </c>
      <c r="X59" s="1133"/>
      <c r="Y59" s="1133"/>
      <c r="Z59" s="1133"/>
      <c r="AA59" s="1149">
        <f t="shared" ref="AA59:AA63" si="55">S59+U59+W59+Y59+Z59</f>
        <v>0</v>
      </c>
      <c r="AB59" s="1149">
        <f t="shared" ref="AB59:AB63" si="56">AA59+Q59</f>
        <v>1320200</v>
      </c>
    </row>
    <row r="60" spans="1:29" ht="144.75" customHeight="1">
      <c r="A60" s="1165">
        <v>36</v>
      </c>
      <c r="B60" s="1129">
        <v>2</v>
      </c>
      <c r="C60" s="1158" t="s">
        <v>1106</v>
      </c>
      <c r="D60" s="1132" t="s">
        <v>1312</v>
      </c>
      <c r="E60" s="1132" t="s">
        <v>1441</v>
      </c>
      <c r="F60" s="1166">
        <v>10</v>
      </c>
      <c r="G60" s="1166"/>
      <c r="H60" s="1149">
        <v>4</v>
      </c>
      <c r="I60" s="1127">
        <v>12000</v>
      </c>
      <c r="J60" s="1137">
        <f t="shared" si="50"/>
        <v>480000</v>
      </c>
      <c r="K60" s="1149">
        <f>2.5*4335</f>
        <v>10837.5</v>
      </c>
      <c r="L60" s="1131">
        <f t="shared" si="51"/>
        <v>0</v>
      </c>
      <c r="M60" s="1138">
        <f>2*4335</f>
        <v>8670</v>
      </c>
      <c r="N60" s="1138">
        <f t="shared" si="52"/>
        <v>346800</v>
      </c>
      <c r="O60" s="1133">
        <v>10000</v>
      </c>
      <c r="P60" s="1124">
        <f>O60*(H60+G60)*2</f>
        <v>80000</v>
      </c>
      <c r="Q60" s="1138">
        <f t="shared" si="53"/>
        <v>906800</v>
      </c>
      <c r="R60" s="1166"/>
      <c r="S60" s="1149"/>
      <c r="T60" s="1166"/>
      <c r="U60" s="1149"/>
      <c r="V60" s="1133"/>
      <c r="W60" s="1133">
        <f t="shared" si="54"/>
        <v>0</v>
      </c>
      <c r="X60" s="1133"/>
      <c r="Y60" s="1133"/>
      <c r="Z60" s="1133"/>
      <c r="AA60" s="1149">
        <f t="shared" si="55"/>
        <v>0</v>
      </c>
      <c r="AB60" s="1149">
        <f t="shared" si="56"/>
        <v>906800</v>
      </c>
    </row>
    <row r="61" spans="1:29" ht="37.5">
      <c r="A61" s="1165">
        <v>37</v>
      </c>
      <c r="B61" s="1129">
        <v>3</v>
      </c>
      <c r="C61" s="1156" t="s">
        <v>383</v>
      </c>
      <c r="D61" s="1132" t="s">
        <v>1340</v>
      </c>
      <c r="E61" s="1132" t="s">
        <v>953</v>
      </c>
      <c r="F61" s="1166">
        <v>7</v>
      </c>
      <c r="G61" s="1166"/>
      <c r="H61" s="1172">
        <v>4</v>
      </c>
      <c r="I61" s="1149"/>
      <c r="J61" s="1149"/>
      <c r="K61" s="1149"/>
      <c r="L61" s="1149"/>
      <c r="M61" s="1149"/>
      <c r="N61" s="1149"/>
      <c r="O61" s="1133"/>
      <c r="P61" s="1133"/>
      <c r="Q61" s="1149">
        <f t="shared" si="53"/>
        <v>0</v>
      </c>
      <c r="R61" s="1130">
        <f>80*$AB$4</f>
        <v>36037.600000000006</v>
      </c>
      <c r="S61" s="1127">
        <f>R61*F61*(G61+H61)</f>
        <v>1009052.8000000002</v>
      </c>
      <c r="T61" s="1130">
        <v>28000</v>
      </c>
      <c r="U61" s="1131">
        <f>T61*F61*(G61+H61)</f>
        <v>784000</v>
      </c>
      <c r="V61" s="1133">
        <v>1889</v>
      </c>
      <c r="W61" s="1131">
        <f t="shared" si="54"/>
        <v>52892</v>
      </c>
      <c r="X61" s="1133">
        <v>442311</v>
      </c>
      <c r="Y61" s="1131">
        <f>X61*(G61+H61)</f>
        <v>1769244</v>
      </c>
      <c r="Z61" s="1130">
        <f>80*$AB$5*(G61+H61)</f>
        <v>156419.20000000001</v>
      </c>
      <c r="AA61" s="1135">
        <f t="shared" si="55"/>
        <v>3771608.0000000005</v>
      </c>
      <c r="AB61" s="1149">
        <f t="shared" si="56"/>
        <v>3771608.0000000005</v>
      </c>
    </row>
    <row r="62" spans="1:29" ht="146.25" customHeight="1">
      <c r="A62" s="1165">
        <v>38</v>
      </c>
      <c r="B62" s="1129">
        <v>4</v>
      </c>
      <c r="C62" s="1158" t="s">
        <v>1106</v>
      </c>
      <c r="D62" s="1132" t="s">
        <v>1341</v>
      </c>
      <c r="E62" s="1132" t="s">
        <v>1441</v>
      </c>
      <c r="F62" s="1166">
        <v>9</v>
      </c>
      <c r="G62" s="1166"/>
      <c r="H62" s="1149">
        <v>4</v>
      </c>
      <c r="I62" s="1127">
        <v>12000</v>
      </c>
      <c r="J62" s="1137">
        <f t="shared" ref="J62" si="57">(G62+H62)*I62*F62</f>
        <v>432000</v>
      </c>
      <c r="K62" s="1149">
        <f>2.5*4335</f>
        <v>10837.5</v>
      </c>
      <c r="L62" s="1131">
        <f t="shared" ref="L62" si="58">K62*F62*G62</f>
        <v>0</v>
      </c>
      <c r="M62" s="1138">
        <f>2*4335</f>
        <v>8670</v>
      </c>
      <c r="N62" s="1138">
        <f t="shared" ref="N62" si="59">M62*H62*F62</f>
        <v>312120</v>
      </c>
      <c r="O62" s="1133">
        <v>10000</v>
      </c>
      <c r="P62" s="1124">
        <f>O62*(H62+G62)*2</f>
        <v>80000</v>
      </c>
      <c r="Q62" s="1138">
        <f t="shared" si="53"/>
        <v>824120</v>
      </c>
      <c r="R62" s="1166"/>
      <c r="S62" s="1149"/>
      <c r="T62" s="1166"/>
      <c r="U62" s="1149"/>
      <c r="V62" s="1133"/>
      <c r="W62" s="1133">
        <f t="shared" si="54"/>
        <v>0</v>
      </c>
      <c r="X62" s="1133"/>
      <c r="Y62" s="1133"/>
      <c r="Z62" s="1133"/>
      <c r="AA62" s="1149">
        <f t="shared" si="55"/>
        <v>0</v>
      </c>
      <c r="AB62" s="1149">
        <f t="shared" si="56"/>
        <v>824120</v>
      </c>
    </row>
    <row r="63" spans="1:29" ht="37.5">
      <c r="A63" s="1165">
        <v>39</v>
      </c>
      <c r="B63" s="1129">
        <v>5</v>
      </c>
      <c r="C63" s="1156" t="s">
        <v>383</v>
      </c>
      <c r="D63" s="1132" t="s">
        <v>386</v>
      </c>
      <c r="E63" s="1132" t="s">
        <v>927</v>
      </c>
      <c r="F63" s="1166">
        <v>7</v>
      </c>
      <c r="G63" s="1166"/>
      <c r="H63" s="1149">
        <v>4</v>
      </c>
      <c r="I63" s="1149"/>
      <c r="J63" s="1137"/>
      <c r="K63" s="1149"/>
      <c r="L63" s="1131"/>
      <c r="M63" s="1138"/>
      <c r="N63" s="1138"/>
      <c r="O63" s="1133"/>
      <c r="P63" s="1124"/>
      <c r="Q63" s="1138">
        <f t="shared" si="53"/>
        <v>0</v>
      </c>
      <c r="R63" s="1130">
        <f>80*$AB$4</f>
        <v>36037.600000000006</v>
      </c>
      <c r="S63" s="1149">
        <f>R63*F63*(G63+H63)</f>
        <v>1009052.8000000002</v>
      </c>
      <c r="T63" s="1130">
        <v>28000</v>
      </c>
      <c r="U63" s="1149">
        <f>T63*F63*(G63+H63)</f>
        <v>784000</v>
      </c>
      <c r="V63" s="1133">
        <v>1889</v>
      </c>
      <c r="W63" s="1133">
        <f t="shared" si="54"/>
        <v>52892</v>
      </c>
      <c r="X63" s="1133">
        <v>646412</v>
      </c>
      <c r="Y63" s="1133">
        <f>X63*(G63+H63)</f>
        <v>2585648</v>
      </c>
      <c r="Z63" s="1130">
        <f>80*$AB$5*(G63+H63)</f>
        <v>156419.20000000001</v>
      </c>
      <c r="AA63" s="1149">
        <f t="shared" si="55"/>
        <v>4588012.0000000009</v>
      </c>
      <c r="AB63" s="1149">
        <f t="shared" si="56"/>
        <v>4588012.0000000009</v>
      </c>
    </row>
    <row r="64" spans="1:29">
      <c r="A64" s="1796"/>
      <c r="B64" s="1797"/>
      <c r="C64" s="1797"/>
      <c r="D64" s="1797"/>
      <c r="E64" s="1797"/>
      <c r="F64" s="1797"/>
      <c r="G64" s="1797"/>
      <c r="H64" s="1798"/>
      <c r="I64" s="1145"/>
      <c r="J64" s="1145">
        <f>SUM(J59:J63)</f>
        <v>1632000</v>
      </c>
      <c r="K64" s="1145"/>
      <c r="L64" s="1145">
        <f>SUM(L59:L63)</f>
        <v>0</v>
      </c>
      <c r="M64" s="1145"/>
      <c r="N64" s="1145">
        <f>SUM(N59:N63)</f>
        <v>1179120</v>
      </c>
      <c r="O64" s="1213"/>
      <c r="P64" s="1145">
        <f>SUM(P59:P63)</f>
        <v>240000</v>
      </c>
      <c r="Q64" s="1145">
        <f>SUM(Q59:Q63)</f>
        <v>3051120</v>
      </c>
      <c r="R64" s="1228"/>
      <c r="S64" s="1145">
        <f>SUM(S59:S63)</f>
        <v>2018105.6000000003</v>
      </c>
      <c r="T64" s="1228"/>
      <c r="U64" s="1145">
        <f>SUM(U59:U63)</f>
        <v>1568000</v>
      </c>
      <c r="V64" s="1228"/>
      <c r="W64" s="1145">
        <f>SUM(W59:W63)</f>
        <v>105784</v>
      </c>
      <c r="X64" s="1228"/>
      <c r="Y64" s="1145">
        <f>SUM(Y59:Y63)</f>
        <v>4354892</v>
      </c>
      <c r="Z64" s="1145">
        <f>SUM(Z59:Z63)</f>
        <v>312838.40000000002</v>
      </c>
      <c r="AA64" s="1145">
        <f>SUM(AA59:AA63)</f>
        <v>8359620.0000000019</v>
      </c>
      <c r="AB64" s="1145">
        <f>SUM(AB59:AB63)</f>
        <v>11410740</v>
      </c>
      <c r="AC64" s="1120">
        <f>AB64-AA64-Q64</f>
        <v>0</v>
      </c>
    </row>
    <row r="65" spans="1:29">
      <c r="A65" s="1819" t="s">
        <v>1342</v>
      </c>
      <c r="B65" s="1820"/>
      <c r="C65" s="1820"/>
      <c r="D65" s="1820"/>
      <c r="E65" s="1820"/>
      <c r="F65" s="1820"/>
      <c r="G65" s="1820"/>
      <c r="H65" s="1820"/>
      <c r="I65" s="1805"/>
      <c r="J65" s="1805"/>
      <c r="K65" s="1805"/>
      <c r="L65" s="1805"/>
      <c r="M65" s="1805"/>
      <c r="N65" s="1805"/>
      <c r="O65" s="1805"/>
      <c r="P65" s="1805"/>
      <c r="Q65" s="1805"/>
      <c r="R65" s="1805"/>
      <c r="S65" s="1805"/>
      <c r="T65" s="1805"/>
      <c r="U65" s="1805"/>
      <c r="V65" s="1805"/>
      <c r="W65" s="1805"/>
      <c r="X65" s="1805"/>
      <c r="Y65" s="1805"/>
      <c r="Z65" s="1805"/>
      <c r="AA65" s="1805"/>
      <c r="AB65" s="1821"/>
    </row>
    <row r="66" spans="1:29" ht="131.25">
      <c r="A66" s="1138">
        <v>40</v>
      </c>
      <c r="B66" s="1138">
        <v>1</v>
      </c>
      <c r="C66" s="1126" t="s">
        <v>1108</v>
      </c>
      <c r="D66" s="1132" t="s">
        <v>384</v>
      </c>
      <c r="E66" s="1127" t="s">
        <v>1440</v>
      </c>
      <c r="F66" s="1127">
        <v>14</v>
      </c>
      <c r="G66" s="1129"/>
      <c r="H66" s="1157">
        <v>5</v>
      </c>
      <c r="I66" s="1127">
        <v>12000</v>
      </c>
      <c r="J66" s="1129">
        <f t="shared" ref="J66" si="60">(G66+H66)*I66*F66</f>
        <v>840000</v>
      </c>
      <c r="K66" s="1149">
        <f>2.5*4335</f>
        <v>10837.5</v>
      </c>
      <c r="L66" s="1127">
        <f t="shared" ref="L66" si="61">K66*F66*G66</f>
        <v>0</v>
      </c>
      <c r="M66" s="1124">
        <f>2*4335</f>
        <v>8670</v>
      </c>
      <c r="N66" s="1124">
        <f t="shared" ref="N66" si="62">M66*H66*F66</f>
        <v>606900</v>
      </c>
      <c r="O66" s="1124">
        <v>10000</v>
      </c>
      <c r="P66" s="1124">
        <f>O66*(H66+G66)*2</f>
        <v>100000</v>
      </c>
      <c r="Q66" s="1124">
        <f t="shared" ref="Q66:Q68" si="63">SUM(J66+L66+N66+P66)</f>
        <v>1546900</v>
      </c>
      <c r="R66" s="1130"/>
      <c r="S66" s="1131"/>
      <c r="T66" s="1130"/>
      <c r="U66" s="1131"/>
      <c r="V66" s="1130"/>
      <c r="W66" s="1131">
        <f t="shared" ref="W66:W68" si="64">V66*(G66+H66)*F66</f>
        <v>0</v>
      </c>
      <c r="X66" s="1130"/>
      <c r="Y66" s="1131"/>
      <c r="Z66" s="1130"/>
      <c r="AA66" s="1135">
        <f t="shared" ref="AA66:AA68" si="65">S66+U66+W66+Y66+Z66</f>
        <v>0</v>
      </c>
      <c r="AB66" s="1135">
        <f t="shared" ref="AB66:AB68" si="66">AA66+Q66</f>
        <v>1546900</v>
      </c>
    </row>
    <row r="67" spans="1:29" ht="56.25">
      <c r="A67" s="1138">
        <v>41</v>
      </c>
      <c r="B67" s="1138">
        <v>2</v>
      </c>
      <c r="C67" s="1156" t="s">
        <v>1343</v>
      </c>
      <c r="D67" s="1132" t="s">
        <v>1344</v>
      </c>
      <c r="E67" s="1127" t="s">
        <v>1345</v>
      </c>
      <c r="F67" s="1127">
        <v>6</v>
      </c>
      <c r="G67" s="1129"/>
      <c r="H67" s="1159">
        <v>5</v>
      </c>
      <c r="I67" s="1127"/>
      <c r="J67" s="1129"/>
      <c r="K67" s="1127"/>
      <c r="L67" s="1127"/>
      <c r="M67" s="1124"/>
      <c r="N67" s="1124"/>
      <c r="O67" s="1124"/>
      <c r="P67" s="1124"/>
      <c r="Q67" s="1124">
        <f t="shared" si="63"/>
        <v>0</v>
      </c>
      <c r="R67" s="1130">
        <f>80*$AB$4</f>
        <v>36037.600000000006</v>
      </c>
      <c r="S67" s="1131">
        <f>R67*F67*(G67+H67)</f>
        <v>1081128.0000000002</v>
      </c>
      <c r="T67" s="1130">
        <v>28000</v>
      </c>
      <c r="U67" s="1131">
        <f>T67*F67*(G67+H67)</f>
        <v>840000</v>
      </c>
      <c r="V67" s="1132">
        <v>657</v>
      </c>
      <c r="W67" s="1131">
        <f t="shared" si="64"/>
        <v>19710</v>
      </c>
      <c r="X67" s="1132">
        <v>366914</v>
      </c>
      <c r="Y67" s="1131">
        <f>X67*(G67+H67)</f>
        <v>1834570</v>
      </c>
      <c r="Z67" s="1132"/>
      <c r="AA67" s="1135">
        <f t="shared" si="65"/>
        <v>3775408</v>
      </c>
      <c r="AB67" s="1135">
        <f t="shared" si="66"/>
        <v>3775408</v>
      </c>
    </row>
    <row r="68" spans="1:29" ht="37.5">
      <c r="A68" s="1138">
        <v>42</v>
      </c>
      <c r="B68" s="1138">
        <v>3</v>
      </c>
      <c r="C68" s="1126" t="s">
        <v>1346</v>
      </c>
      <c r="D68" s="1132" t="s">
        <v>1146</v>
      </c>
      <c r="E68" s="1127" t="s">
        <v>1347</v>
      </c>
      <c r="F68" s="1159">
        <v>10</v>
      </c>
      <c r="G68" s="1129"/>
      <c r="H68" s="1157">
        <v>4</v>
      </c>
      <c r="I68" s="1131"/>
      <c r="J68" s="1137"/>
      <c r="K68" s="1131"/>
      <c r="L68" s="1131"/>
      <c r="M68" s="1138"/>
      <c r="N68" s="1138"/>
      <c r="O68" s="1138"/>
      <c r="P68" s="1124"/>
      <c r="Q68" s="1138">
        <f t="shared" si="63"/>
        <v>0</v>
      </c>
      <c r="R68" s="1130">
        <f>80*$AB$4</f>
        <v>36037.600000000006</v>
      </c>
      <c r="S68" s="1131">
        <f>R68*F68*(G68+H68)</f>
        <v>1441504.0000000002</v>
      </c>
      <c r="T68" s="1130">
        <v>28000</v>
      </c>
      <c r="U68" s="1131">
        <f>T68*F68*(G68+H68)</f>
        <v>1120000</v>
      </c>
      <c r="V68" s="1132">
        <v>1029</v>
      </c>
      <c r="W68" s="1131">
        <f t="shared" si="64"/>
        <v>41160</v>
      </c>
      <c r="X68" s="1132">
        <v>580754</v>
      </c>
      <c r="Y68" s="1131">
        <f>X68*(G68+H68)</f>
        <v>2323016</v>
      </c>
      <c r="Z68" s="1132"/>
      <c r="AA68" s="1135">
        <f t="shared" si="65"/>
        <v>4925680</v>
      </c>
      <c r="AB68" s="1135">
        <f t="shared" si="66"/>
        <v>4925680</v>
      </c>
    </row>
    <row r="69" spans="1:29">
      <c r="A69" s="1807" t="s">
        <v>38</v>
      </c>
      <c r="B69" s="1807"/>
      <c r="C69" s="1807"/>
      <c r="D69" s="1807"/>
      <c r="E69" s="1807"/>
      <c r="F69" s="1807"/>
      <c r="G69" s="1807"/>
      <c r="H69" s="1807"/>
      <c r="I69" s="1145"/>
      <c r="J69" s="1145">
        <f>SUM(J66:J68)</f>
        <v>840000</v>
      </c>
      <c r="K69" s="1145"/>
      <c r="L69" s="1145">
        <f>SUM(L66:L68)</f>
        <v>0</v>
      </c>
      <c r="M69" s="1145"/>
      <c r="N69" s="1145">
        <f>SUM(N66:N68)</f>
        <v>606900</v>
      </c>
      <c r="O69" s="1213"/>
      <c r="P69" s="1145">
        <f>SUM(P66:P68)</f>
        <v>100000</v>
      </c>
      <c r="Q69" s="1145">
        <f>SUM(Q66:Q68)</f>
        <v>1546900</v>
      </c>
      <c r="R69" s="1228"/>
      <c r="S69" s="1145">
        <f>SUM(S66:S68)</f>
        <v>2522632.0000000005</v>
      </c>
      <c r="T69" s="1228"/>
      <c r="U69" s="1145">
        <f>SUM(U66:U68)</f>
        <v>1960000</v>
      </c>
      <c r="V69" s="1228"/>
      <c r="W69" s="1145">
        <f>SUM(W66:W68)</f>
        <v>60870</v>
      </c>
      <c r="X69" s="1228"/>
      <c r="Y69" s="1145">
        <f>SUM(Y66:Y68)</f>
        <v>4157586</v>
      </c>
      <c r="Z69" s="1145">
        <f>SUM(Z66:Z68)</f>
        <v>0</v>
      </c>
      <c r="AA69" s="1145">
        <f>SUM(AA66:AA68)</f>
        <v>8701088</v>
      </c>
      <c r="AB69" s="1145">
        <f>SUM(AB66:AB68)</f>
        <v>10247988</v>
      </c>
      <c r="AC69" s="1120">
        <f>AB69-AA69-Q69</f>
        <v>0</v>
      </c>
    </row>
    <row r="70" spans="1:29">
      <c r="A70" s="1819" t="s">
        <v>1348</v>
      </c>
      <c r="B70" s="1820"/>
      <c r="C70" s="1820"/>
      <c r="D70" s="1820"/>
      <c r="E70" s="1820"/>
      <c r="F70" s="1820"/>
      <c r="G70" s="1820"/>
      <c r="H70" s="1820"/>
      <c r="I70" s="1805"/>
      <c r="J70" s="1805"/>
      <c r="K70" s="1805"/>
      <c r="L70" s="1805"/>
      <c r="M70" s="1805"/>
      <c r="N70" s="1805"/>
      <c r="O70" s="1805"/>
      <c r="P70" s="1805"/>
      <c r="Q70" s="1805"/>
      <c r="R70" s="1805"/>
      <c r="S70" s="1805"/>
      <c r="T70" s="1805"/>
      <c r="U70" s="1805"/>
      <c r="V70" s="1805"/>
      <c r="W70" s="1805"/>
      <c r="X70" s="1805"/>
      <c r="Y70" s="1805"/>
      <c r="Z70" s="1805"/>
      <c r="AA70" s="1805"/>
      <c r="AB70" s="1821"/>
    </row>
    <row r="71" spans="1:29" ht="131.25">
      <c r="A71" s="1124">
        <v>43</v>
      </c>
      <c r="B71" s="1138">
        <v>1</v>
      </c>
      <c r="C71" s="1126" t="s">
        <v>1108</v>
      </c>
      <c r="D71" s="1132" t="s">
        <v>1349</v>
      </c>
      <c r="E71" s="1127" t="s">
        <v>1440</v>
      </c>
      <c r="F71" s="1159">
        <v>18</v>
      </c>
      <c r="G71" s="1129"/>
      <c r="H71" s="1159">
        <v>4</v>
      </c>
      <c r="I71" s="1127">
        <v>12000</v>
      </c>
      <c r="J71" s="1129">
        <f t="shared" ref="J71:J72" si="67">(G71+H71)*I71*F71</f>
        <v>864000</v>
      </c>
      <c r="K71" s="1149">
        <f>2.5*4335</f>
        <v>10837.5</v>
      </c>
      <c r="L71" s="1127">
        <f t="shared" ref="L71:L72" si="68">K71*F71*G71</f>
        <v>0</v>
      </c>
      <c r="M71" s="1124">
        <f>2*4335</f>
        <v>8670</v>
      </c>
      <c r="N71" s="1124">
        <f t="shared" ref="N71:N72" si="69">M71*H71*F71</f>
        <v>624240</v>
      </c>
      <c r="O71" s="1124">
        <v>10000</v>
      </c>
      <c r="P71" s="1124">
        <f>O71*(H71+G71)*2</f>
        <v>80000</v>
      </c>
      <c r="Q71" s="1124">
        <f t="shared" ref="Q71:Q73" si="70">SUM(J71+L71+N71+P71)</f>
        <v>1568240</v>
      </c>
      <c r="R71" s="1124"/>
      <c r="S71" s="1124"/>
      <c r="T71" s="1124"/>
      <c r="U71" s="1124"/>
      <c r="V71" s="1124"/>
      <c r="W71" s="1124">
        <f t="shared" ref="W71:W73" si="71">V71*(G71+H71)*F71</f>
        <v>0</v>
      </c>
      <c r="X71" s="1124"/>
      <c r="Y71" s="1124"/>
      <c r="Z71" s="1124"/>
      <c r="AA71" s="1149">
        <f t="shared" ref="AA71:AA73" si="72">S71+U71+W71+Y71+Z71</f>
        <v>0</v>
      </c>
      <c r="AB71" s="1149">
        <f t="shared" ref="AB71:AB73" si="73">Q71+AA71</f>
        <v>1568240</v>
      </c>
    </row>
    <row r="72" spans="1:29" ht="131.25">
      <c r="A72" s="1124">
        <v>44</v>
      </c>
      <c r="B72" s="1138">
        <v>2</v>
      </c>
      <c r="C72" s="1158" t="s">
        <v>1108</v>
      </c>
      <c r="D72" s="1132" t="s">
        <v>1341</v>
      </c>
      <c r="E72" s="1127" t="s">
        <v>1440</v>
      </c>
      <c r="F72" s="1127">
        <v>18</v>
      </c>
      <c r="G72" s="1129"/>
      <c r="H72" s="1159">
        <v>5</v>
      </c>
      <c r="I72" s="1127">
        <v>12000</v>
      </c>
      <c r="J72" s="1129">
        <f t="shared" si="67"/>
        <v>1080000</v>
      </c>
      <c r="K72" s="1149">
        <f>2.5*4335</f>
        <v>10837.5</v>
      </c>
      <c r="L72" s="1127">
        <f t="shared" si="68"/>
        <v>0</v>
      </c>
      <c r="M72" s="1124">
        <f>2*4335</f>
        <v>8670</v>
      </c>
      <c r="N72" s="1124">
        <f t="shared" si="69"/>
        <v>780300</v>
      </c>
      <c r="O72" s="1124">
        <v>10000</v>
      </c>
      <c r="P72" s="1124">
        <f>O72*(H72+G72)*2</f>
        <v>100000</v>
      </c>
      <c r="Q72" s="1124">
        <f t="shared" si="70"/>
        <v>1960300</v>
      </c>
      <c r="R72" s="1130"/>
      <c r="S72" s="1131"/>
      <c r="T72" s="1132"/>
      <c r="U72" s="1131"/>
      <c r="V72" s="1132"/>
      <c r="W72" s="1131">
        <f t="shared" si="71"/>
        <v>0</v>
      </c>
      <c r="X72" s="1132"/>
      <c r="Y72" s="1131"/>
      <c r="Z72" s="1132"/>
      <c r="AA72" s="1135">
        <f t="shared" si="72"/>
        <v>0</v>
      </c>
      <c r="AB72" s="1149">
        <f t="shared" si="73"/>
        <v>1960300</v>
      </c>
    </row>
    <row r="73" spans="1:29" ht="56.25">
      <c r="A73" s="1124">
        <v>45</v>
      </c>
      <c r="B73" s="1138">
        <v>3</v>
      </c>
      <c r="C73" s="1136" t="s">
        <v>1350</v>
      </c>
      <c r="D73" s="1132" t="s">
        <v>1318</v>
      </c>
      <c r="E73" s="1127" t="s">
        <v>1351</v>
      </c>
      <c r="F73" s="1159">
        <v>6</v>
      </c>
      <c r="G73" s="1129"/>
      <c r="H73" s="1159">
        <v>4</v>
      </c>
      <c r="I73" s="1127"/>
      <c r="J73" s="1137"/>
      <c r="K73" s="1127"/>
      <c r="L73" s="1131"/>
      <c r="M73" s="1138"/>
      <c r="N73" s="1138"/>
      <c r="O73" s="1124"/>
      <c r="P73" s="1124"/>
      <c r="Q73" s="1138">
        <f t="shared" si="70"/>
        <v>0</v>
      </c>
      <c r="R73" s="1130">
        <f>80*$AB$4</f>
        <v>36037.600000000006</v>
      </c>
      <c r="S73" s="1131">
        <f>R73*F73*(G73+H73)</f>
        <v>864902.40000000014</v>
      </c>
      <c r="T73" s="1130">
        <v>26000</v>
      </c>
      <c r="U73" s="1131">
        <f>T73*F73*(G73+H73)</f>
        <v>624000</v>
      </c>
      <c r="V73" s="1132">
        <v>1889</v>
      </c>
      <c r="W73" s="1131">
        <f t="shared" si="71"/>
        <v>45336</v>
      </c>
      <c r="X73" s="1132">
        <v>690422</v>
      </c>
      <c r="Y73" s="1131">
        <f>X73*(G73+H73)</f>
        <v>2761688</v>
      </c>
      <c r="Z73" s="1130">
        <f>80*$AB$5*(G73+H73)</f>
        <v>156419.20000000001</v>
      </c>
      <c r="AA73" s="1135">
        <f t="shared" si="72"/>
        <v>4452345.6000000006</v>
      </c>
      <c r="AB73" s="1149">
        <f t="shared" si="73"/>
        <v>4452345.6000000006</v>
      </c>
    </row>
    <row r="74" spans="1:29">
      <c r="A74" s="1807" t="s">
        <v>38</v>
      </c>
      <c r="B74" s="1807"/>
      <c r="C74" s="1807"/>
      <c r="D74" s="1807"/>
      <c r="E74" s="1807"/>
      <c r="F74" s="1807"/>
      <c r="G74" s="1807"/>
      <c r="H74" s="1144"/>
      <c r="I74" s="1145"/>
      <c r="J74" s="1145">
        <f>SUM(J71:J73)</f>
        <v>1944000</v>
      </c>
      <c r="K74" s="1145"/>
      <c r="L74" s="1145">
        <f>SUM(L71:L73)</f>
        <v>0</v>
      </c>
      <c r="M74" s="1145"/>
      <c r="N74" s="1145">
        <f>SUM(N71:N73)</f>
        <v>1404540</v>
      </c>
      <c r="O74" s="1213"/>
      <c r="P74" s="1145">
        <f>SUM(P71:P73)</f>
        <v>180000</v>
      </c>
      <c r="Q74" s="1145">
        <f>SUM(Q71:Q73)</f>
        <v>3528540</v>
      </c>
      <c r="R74" s="1228"/>
      <c r="S74" s="1145">
        <f>SUM(S71:S73)</f>
        <v>864902.40000000014</v>
      </c>
      <c r="T74" s="1228"/>
      <c r="U74" s="1145">
        <f>SUM(U71:U73)</f>
        <v>624000</v>
      </c>
      <c r="V74" s="1228"/>
      <c r="W74" s="1145">
        <f>SUM(W71:W73)</f>
        <v>45336</v>
      </c>
      <c r="X74" s="1228"/>
      <c r="Y74" s="1145">
        <f>SUM(Y71:Y73)</f>
        <v>2761688</v>
      </c>
      <c r="Z74" s="1145">
        <f>SUM(Z71:Z73)</f>
        <v>156419.20000000001</v>
      </c>
      <c r="AA74" s="1145">
        <f>SUM(AA71:AA73)</f>
        <v>4452345.6000000006</v>
      </c>
      <c r="AB74" s="1145">
        <f>SUM(AB71:AB73)</f>
        <v>7980885.6000000006</v>
      </c>
      <c r="AC74" s="1120">
        <f>AB74-AA74-Q74</f>
        <v>0</v>
      </c>
    </row>
    <row r="75" spans="1:29">
      <c r="A75" s="1819" t="s">
        <v>1352</v>
      </c>
      <c r="B75" s="1820"/>
      <c r="C75" s="1820"/>
      <c r="D75" s="1820"/>
      <c r="E75" s="1820"/>
      <c r="F75" s="1820"/>
      <c r="G75" s="1820"/>
      <c r="H75" s="1820"/>
      <c r="I75" s="1805"/>
      <c r="J75" s="1805"/>
      <c r="K75" s="1805"/>
      <c r="L75" s="1805"/>
      <c r="M75" s="1805"/>
      <c r="N75" s="1805"/>
      <c r="O75" s="1805"/>
      <c r="P75" s="1805"/>
      <c r="Q75" s="1805"/>
      <c r="R75" s="1805"/>
      <c r="S75" s="1805"/>
      <c r="T75" s="1805"/>
      <c r="U75" s="1805"/>
      <c r="V75" s="1805"/>
      <c r="W75" s="1805"/>
      <c r="X75" s="1805"/>
      <c r="Y75" s="1805"/>
      <c r="Z75" s="1805"/>
      <c r="AA75" s="1805"/>
      <c r="AB75" s="1821"/>
    </row>
    <row r="76" spans="1:29" ht="56.25">
      <c r="A76" s="1149">
        <v>46</v>
      </c>
      <c r="B76" s="1173">
        <v>1</v>
      </c>
      <c r="C76" s="1174" t="s">
        <v>1353</v>
      </c>
      <c r="D76" s="1132" t="s">
        <v>1354</v>
      </c>
      <c r="E76" s="1132" t="s">
        <v>1355</v>
      </c>
      <c r="F76" s="1166">
        <v>5</v>
      </c>
      <c r="G76" s="1166"/>
      <c r="H76" s="1149">
        <v>2</v>
      </c>
      <c r="I76" s="1149"/>
      <c r="J76" s="1149"/>
      <c r="K76" s="1149"/>
      <c r="L76" s="1149"/>
      <c r="M76" s="1149"/>
      <c r="N76" s="1149"/>
      <c r="O76" s="1133"/>
      <c r="P76" s="1133"/>
      <c r="Q76" s="1149">
        <f t="shared" ref="Q76:Q78" si="74">SUM(J76+L76+N76+P76)</f>
        <v>0</v>
      </c>
      <c r="R76" s="1130">
        <f>80*$AB$4</f>
        <v>36037.600000000006</v>
      </c>
      <c r="S76" s="1127">
        <f>R76*F76*(G76+H76)</f>
        <v>360376.00000000006</v>
      </c>
      <c r="T76" s="1130">
        <v>26000</v>
      </c>
      <c r="U76" s="1127">
        <f>T76*F76*(G76+H76)</f>
        <v>260000</v>
      </c>
      <c r="V76" s="1133">
        <v>1889</v>
      </c>
      <c r="W76" s="1131">
        <f t="shared" ref="W76:W78" si="75">V76*(G76+H76)*F76</f>
        <v>18890</v>
      </c>
      <c r="X76" s="1133">
        <v>389563</v>
      </c>
      <c r="Y76" s="1131">
        <f>X76*(G76+H76)</f>
        <v>779126</v>
      </c>
      <c r="Z76" s="1130">
        <f>80*$AB$5*(G76+H76)</f>
        <v>78209.600000000006</v>
      </c>
      <c r="AA76" s="1135">
        <f t="shared" ref="AA76:AA78" si="76">S76+U76+W76+Y76+Z76</f>
        <v>1496601.6000000001</v>
      </c>
      <c r="AB76" s="1149">
        <f t="shared" ref="AB76:AB78" si="77">AA76+Q76</f>
        <v>1496601.6000000001</v>
      </c>
    </row>
    <row r="77" spans="1:29" ht="56.25">
      <c r="A77" s="1149">
        <v>47</v>
      </c>
      <c r="B77" s="1173">
        <v>2</v>
      </c>
      <c r="C77" s="1174" t="s">
        <v>1356</v>
      </c>
      <c r="D77" s="1132" t="s">
        <v>1357</v>
      </c>
      <c r="E77" s="1132" t="s">
        <v>1358</v>
      </c>
      <c r="F77" s="1166">
        <v>6</v>
      </c>
      <c r="G77" s="1166"/>
      <c r="H77" s="1149">
        <v>2</v>
      </c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432451.20000000007</v>
      </c>
      <c r="T77" s="1130">
        <v>26000</v>
      </c>
      <c r="U77" s="1127">
        <f>T77*F77*(G77+H77)</f>
        <v>312000</v>
      </c>
      <c r="V77" s="1133">
        <v>1029</v>
      </c>
      <c r="W77" s="1133">
        <f t="shared" si="75"/>
        <v>12348</v>
      </c>
      <c r="X77" s="1133">
        <v>579472</v>
      </c>
      <c r="Y77" s="1133">
        <f>X77*(G77+H77)</f>
        <v>1158944</v>
      </c>
      <c r="Z77" s="1133"/>
      <c r="AA77" s="1135">
        <f t="shared" si="76"/>
        <v>1915743.2000000002</v>
      </c>
      <c r="AB77" s="1149">
        <f t="shared" si="77"/>
        <v>1915743.2000000002</v>
      </c>
    </row>
    <row r="78" spans="1:29" ht="37.5">
      <c r="A78" s="1149">
        <v>48</v>
      </c>
      <c r="B78" s="1173">
        <v>3</v>
      </c>
      <c r="C78" s="1126" t="s">
        <v>1359</v>
      </c>
      <c r="D78" s="1132" t="s">
        <v>1360</v>
      </c>
      <c r="E78" s="1132" t="s">
        <v>1361</v>
      </c>
      <c r="F78" s="1166">
        <v>14</v>
      </c>
      <c r="G78" s="1166"/>
      <c r="H78" s="1149">
        <v>2</v>
      </c>
      <c r="I78" s="1149"/>
      <c r="J78" s="1149"/>
      <c r="K78" s="1149"/>
      <c r="L78" s="1149"/>
      <c r="M78" s="1149"/>
      <c r="N78" s="1149"/>
      <c r="O78" s="1133"/>
      <c r="P78" s="1133"/>
      <c r="Q78" s="1149">
        <f t="shared" si="74"/>
        <v>0</v>
      </c>
      <c r="R78" s="1130">
        <f>80*$AB$4</f>
        <v>36037.600000000006</v>
      </c>
      <c r="S78" s="1127">
        <f>R78*F78*(G78+H78)</f>
        <v>1009052.8000000002</v>
      </c>
      <c r="T78" s="1130">
        <v>26000</v>
      </c>
      <c r="U78" s="1127">
        <f>T78*F78*(G78+H78)</f>
        <v>728000</v>
      </c>
      <c r="V78" s="1133">
        <v>1029</v>
      </c>
      <c r="W78" s="1131">
        <f t="shared" si="75"/>
        <v>28812</v>
      </c>
      <c r="X78" s="1133">
        <v>505732</v>
      </c>
      <c r="Y78" s="1131">
        <f>X78*(G78+H78)</f>
        <v>1011464</v>
      </c>
      <c r="Z78" s="1130">
        <f>40*$AB$4</f>
        <v>18018.800000000003</v>
      </c>
      <c r="AA78" s="1135">
        <f t="shared" si="76"/>
        <v>2795347.6</v>
      </c>
      <c r="AB78" s="1149">
        <f t="shared" si="77"/>
        <v>2795347.6</v>
      </c>
    </row>
    <row r="79" spans="1:29">
      <c r="A79" s="1807" t="s">
        <v>38</v>
      </c>
      <c r="B79" s="1807"/>
      <c r="C79" s="1807"/>
      <c r="D79" s="1807"/>
      <c r="E79" s="1807"/>
      <c r="F79" s="1807"/>
      <c r="G79" s="1807"/>
      <c r="H79" s="1807"/>
      <c r="I79" s="1145"/>
      <c r="J79" s="1145">
        <f>SUM(J76:J78)</f>
        <v>0</v>
      </c>
      <c r="K79" s="1145"/>
      <c r="L79" s="1145">
        <f>SUM(L76:L78)</f>
        <v>0</v>
      </c>
      <c r="M79" s="1145"/>
      <c r="N79" s="1145">
        <f>SUM(N76:N78)</f>
        <v>0</v>
      </c>
      <c r="O79" s="1213"/>
      <c r="P79" s="1145">
        <f>SUM(P76:P78)</f>
        <v>0</v>
      </c>
      <c r="Q79" s="1145">
        <f>SUM(Q76:Q78)</f>
        <v>0</v>
      </c>
      <c r="R79" s="1228"/>
      <c r="S79" s="1145">
        <f>SUM(S76:S78)</f>
        <v>1801880.0000000005</v>
      </c>
      <c r="T79" s="1228"/>
      <c r="U79" s="1145">
        <f>SUM(U76:U78)</f>
        <v>1300000</v>
      </c>
      <c r="V79" s="1228"/>
      <c r="W79" s="1145">
        <f>SUM(W76:W78)</f>
        <v>60050</v>
      </c>
      <c r="X79" s="1228"/>
      <c r="Y79" s="1145">
        <f>SUM(Y76:Y78)</f>
        <v>2949534</v>
      </c>
      <c r="Z79" s="1145">
        <f>SUM(Z76:Z78)</f>
        <v>96228.400000000009</v>
      </c>
      <c r="AA79" s="1145">
        <f>SUM(AA76:AA78)</f>
        <v>6207692.4000000004</v>
      </c>
      <c r="AB79" s="1145">
        <f>SUM(AB76:AB78)</f>
        <v>6207692.4000000004</v>
      </c>
      <c r="AC79" s="1146">
        <f>AB79-AA79-Q79</f>
        <v>0</v>
      </c>
    </row>
    <row r="80" spans="1:29">
      <c r="A80" s="1809" t="s">
        <v>1362</v>
      </c>
      <c r="B80" s="1809"/>
      <c r="C80" s="1809"/>
      <c r="D80" s="1809"/>
      <c r="E80" s="1809"/>
      <c r="F80" s="1809"/>
      <c r="G80" s="1809"/>
      <c r="H80" s="1809"/>
      <c r="I80" s="1810"/>
      <c r="J80" s="1810"/>
      <c r="K80" s="1810"/>
      <c r="L80" s="1810"/>
      <c r="M80" s="1810"/>
      <c r="N80" s="1810"/>
      <c r="O80" s="1810"/>
      <c r="P80" s="1810"/>
      <c r="Q80" s="1810"/>
      <c r="R80" s="1810"/>
      <c r="S80" s="1810"/>
      <c r="T80" s="1810"/>
      <c r="U80" s="1810"/>
      <c r="V80" s="1810"/>
      <c r="W80" s="1810"/>
      <c r="X80" s="1810"/>
      <c r="Y80" s="1810"/>
      <c r="Z80" s="1810"/>
      <c r="AA80" s="1810"/>
      <c r="AB80" s="1810"/>
    </row>
    <row r="81" spans="1:29" ht="126" customHeight="1">
      <c r="A81" s="1124">
        <v>49</v>
      </c>
      <c r="B81" s="1129">
        <v>1</v>
      </c>
      <c r="C81" s="1175" t="s">
        <v>1363</v>
      </c>
      <c r="D81" s="1149" t="s">
        <v>1364</v>
      </c>
      <c r="E81" s="1149" t="s">
        <v>1365</v>
      </c>
      <c r="F81" s="1166">
        <v>14</v>
      </c>
      <c r="G81" s="1166"/>
      <c r="H81" s="1149">
        <v>2</v>
      </c>
      <c r="I81" s="1127">
        <v>12000</v>
      </c>
      <c r="J81" s="1137">
        <f t="shared" ref="J81" si="78">(G81+H81)*I81*F81</f>
        <v>336000</v>
      </c>
      <c r="K81" s="1149">
        <f>2.5*4335</f>
        <v>10837.5</v>
      </c>
      <c r="L81" s="1131">
        <f t="shared" ref="L81" si="79">K81*F81*G81</f>
        <v>0</v>
      </c>
      <c r="M81" s="1138">
        <f>2*4335</f>
        <v>8670</v>
      </c>
      <c r="N81" s="1138">
        <f t="shared" ref="N81" si="80">M81*H81*F81</f>
        <v>242760</v>
      </c>
      <c r="O81" s="1133">
        <v>10000</v>
      </c>
      <c r="P81" s="1124">
        <f>O81*(H81+G81)*2</f>
        <v>40000</v>
      </c>
      <c r="Q81" s="1138">
        <f t="shared" ref="Q81:Q83" si="81">SUM(J81+L81+N81+P81)</f>
        <v>618760</v>
      </c>
      <c r="R81" s="1149"/>
      <c r="S81" s="1127"/>
      <c r="T81" s="1166"/>
      <c r="U81" s="1127"/>
      <c r="V81" s="1133"/>
      <c r="W81" s="1127">
        <f t="shared" ref="W81:W83" si="82">V81*(G81+H81)*F81</f>
        <v>0</v>
      </c>
      <c r="X81" s="1133"/>
      <c r="Y81" s="1127"/>
      <c r="Z81" s="1133"/>
      <c r="AA81" s="1149">
        <f t="shared" ref="AA81:AA83" si="83">S81+U81+W81+Y81+Z81</f>
        <v>0</v>
      </c>
      <c r="AB81" s="1135">
        <f t="shared" ref="AB81:AB83" si="84">AA81+Q81</f>
        <v>618760</v>
      </c>
    </row>
    <row r="82" spans="1:29" ht="56.25">
      <c r="A82" s="1124">
        <v>50</v>
      </c>
      <c r="B82" s="1129">
        <v>2</v>
      </c>
      <c r="C82" s="1160" t="s">
        <v>1366</v>
      </c>
      <c r="D82" s="1132" t="s">
        <v>1367</v>
      </c>
      <c r="E82" s="1132" t="s">
        <v>389</v>
      </c>
      <c r="F82" s="1166">
        <v>6</v>
      </c>
      <c r="G82" s="1166"/>
      <c r="H82" s="1149">
        <v>2</v>
      </c>
      <c r="I82" s="1149"/>
      <c r="J82" s="1137"/>
      <c r="K82" s="1149"/>
      <c r="L82" s="1131"/>
      <c r="M82" s="1138"/>
      <c r="N82" s="1138"/>
      <c r="O82" s="1133"/>
      <c r="P82" s="1124"/>
      <c r="Q82" s="1138">
        <f t="shared" si="81"/>
        <v>0</v>
      </c>
      <c r="R82" s="1130">
        <f>80*$AB$4</f>
        <v>36037.600000000006</v>
      </c>
      <c r="S82" s="1131">
        <f>R82*F82*(G82+H82)</f>
        <v>432451.20000000007</v>
      </c>
      <c r="T82" s="1130">
        <v>26000</v>
      </c>
      <c r="U82" s="1131">
        <f>T82*F82*(G82+H82)</f>
        <v>312000</v>
      </c>
      <c r="V82" s="1133">
        <v>1889</v>
      </c>
      <c r="W82" s="1131">
        <f t="shared" si="82"/>
        <v>22668</v>
      </c>
      <c r="X82" s="1130">
        <v>685846</v>
      </c>
      <c r="Y82" s="1131">
        <f>X82*(G82+H82)</f>
        <v>1371692</v>
      </c>
      <c r="Z82" s="1130">
        <f>80*$AB$5*(G82+H82)</f>
        <v>78209.600000000006</v>
      </c>
      <c r="AA82" s="1135">
        <f t="shared" si="83"/>
        <v>2217020.8000000003</v>
      </c>
      <c r="AB82" s="1135">
        <f t="shared" si="84"/>
        <v>2217020.8000000003</v>
      </c>
    </row>
    <row r="83" spans="1:29" ht="131.25">
      <c r="A83" s="1124">
        <v>51</v>
      </c>
      <c r="B83" s="1129">
        <v>3</v>
      </c>
      <c r="C83" s="1175" t="s">
        <v>1368</v>
      </c>
      <c r="D83" s="1132" t="s">
        <v>1369</v>
      </c>
      <c r="E83" s="1132" t="s">
        <v>1370</v>
      </c>
      <c r="F83" s="1166">
        <v>14</v>
      </c>
      <c r="G83" s="1166"/>
      <c r="H83" s="1149">
        <v>2</v>
      </c>
      <c r="I83" s="1149"/>
      <c r="J83" s="1149"/>
      <c r="K83" s="1149"/>
      <c r="L83" s="1149"/>
      <c r="M83" s="1149"/>
      <c r="N83" s="1149"/>
      <c r="O83" s="1133"/>
      <c r="P83" s="1133"/>
      <c r="Q83" s="1149">
        <f t="shared" si="81"/>
        <v>0</v>
      </c>
      <c r="R83" s="1130">
        <f>80*$AB$4</f>
        <v>36037.600000000006</v>
      </c>
      <c r="S83" s="1131">
        <f>R83*F83*(G83+H83)</f>
        <v>1009052.8000000002</v>
      </c>
      <c r="T83" s="1130">
        <v>26300</v>
      </c>
      <c r="U83" s="1131">
        <f>T83*F83*(G83+H83)</f>
        <v>736400</v>
      </c>
      <c r="V83" s="1133">
        <v>1029</v>
      </c>
      <c r="W83" s="1131">
        <f t="shared" si="82"/>
        <v>28812</v>
      </c>
      <c r="X83" s="1133">
        <v>505732</v>
      </c>
      <c r="Y83" s="1131">
        <f>X83*(G83+H83)</f>
        <v>1011464</v>
      </c>
      <c r="Z83" s="1130">
        <f>40*$AB$4</f>
        <v>18018.800000000003</v>
      </c>
      <c r="AA83" s="1135">
        <f t="shared" si="83"/>
        <v>2803747.6</v>
      </c>
      <c r="AB83" s="1135">
        <f t="shared" si="84"/>
        <v>2803747.6</v>
      </c>
    </row>
    <row r="84" spans="1:29">
      <c r="A84" s="1807" t="s">
        <v>38</v>
      </c>
      <c r="B84" s="1807"/>
      <c r="C84" s="1807"/>
      <c r="D84" s="1807"/>
      <c r="E84" s="1807"/>
      <c r="F84" s="1807"/>
      <c r="G84" s="1807"/>
      <c r="H84" s="1807"/>
      <c r="I84" s="1144"/>
      <c r="J84" s="1144">
        <f>SUM(J81:J83)</f>
        <v>336000</v>
      </c>
      <c r="K84" s="1144"/>
      <c r="L84" s="1144">
        <f>SUM(L81:L83)</f>
        <v>0</v>
      </c>
      <c r="M84" s="1144"/>
      <c r="N84" s="1144">
        <f>SUM(N81:N83)</f>
        <v>242760</v>
      </c>
      <c r="O84" s="1144"/>
      <c r="P84" s="1144">
        <f>SUM(P81:P83)</f>
        <v>40000</v>
      </c>
      <c r="Q84" s="1144">
        <f>SUM(Q81:Q83)</f>
        <v>618760</v>
      </c>
      <c r="R84" s="1144"/>
      <c r="S84" s="1144">
        <f>SUM(S81:S83)</f>
        <v>1441504.0000000002</v>
      </c>
      <c r="T84" s="1144"/>
      <c r="U84" s="1144">
        <f>SUM(U81:U83)</f>
        <v>1048400</v>
      </c>
      <c r="V84" s="1144"/>
      <c r="W84" s="1144">
        <f>SUM(W81:W83)</f>
        <v>51480</v>
      </c>
      <c r="X84" s="1144"/>
      <c r="Y84" s="1144">
        <f>SUM(Y81:Y83)</f>
        <v>2383156</v>
      </c>
      <c r="Z84" s="1144">
        <f>SUM(Z81:Z83)</f>
        <v>96228.400000000009</v>
      </c>
      <c r="AA84" s="1144">
        <f>SUM(AA81:AA83)</f>
        <v>5020768.4000000004</v>
      </c>
      <c r="AB84" s="1144">
        <f>SUM(AB81:AB83)</f>
        <v>5639528.4000000004</v>
      </c>
      <c r="AC84" s="1146">
        <f>AB84-AA84-Q84</f>
        <v>0</v>
      </c>
    </row>
    <row r="85" spans="1:29">
      <c r="A85" s="1822" t="s">
        <v>1152</v>
      </c>
      <c r="B85" s="1823"/>
      <c r="C85" s="1823"/>
      <c r="D85" s="1823"/>
      <c r="E85" s="1824"/>
      <c r="F85" s="1176"/>
      <c r="G85" s="1176"/>
      <c r="H85" s="1176"/>
      <c r="I85" s="1176"/>
      <c r="J85" s="1177">
        <f>J50+J44+J57+J64+J79+J84+J74+J69+J15+J21+J37+J29</f>
        <v>10536000</v>
      </c>
      <c r="K85" s="1177"/>
      <c r="L85" s="1177">
        <f>L50+L44+L57+L64+L79+L84+L74+L69+L15+L21+L37+L29</f>
        <v>0</v>
      </c>
      <c r="M85" s="1177"/>
      <c r="N85" s="1177">
        <f>N50+N44+N57+N64+N79+N84+N74+N69+N15+N21+N37+N29</f>
        <v>7698960</v>
      </c>
      <c r="O85" s="1177"/>
      <c r="P85" s="1177">
        <f>P50+P44+P57+P64+P79+P84+P74+P69+P15+P21+P37+P29</f>
        <v>1260000</v>
      </c>
      <c r="Q85" s="1177">
        <f>Q50+Q44+Q57+Q64+Q79+Q84+Q74+Q69+Q15+Q21+Q37+Q29</f>
        <v>19494960</v>
      </c>
      <c r="R85" s="1177"/>
      <c r="S85" s="1177">
        <f>S50+S44+S57+S64+S79+S84+S74+S69+S15+S21+S37+S29</f>
        <v>25478583.200000003</v>
      </c>
      <c r="T85" s="1177"/>
      <c r="U85" s="1177">
        <f>U50+U44+U57+U64+U79+U84+U74+U69+U15+U21+U37+U29</f>
        <v>19576400</v>
      </c>
      <c r="V85" s="1177"/>
      <c r="W85" s="1177">
        <f>W50+W44+W57+W64+W79+W84+W74+W69+W15+W21+W37+W29</f>
        <v>927627</v>
      </c>
      <c r="X85" s="1177"/>
      <c r="Y85" s="1177">
        <f>Y50+Y44+Y57+Y64+Y79+Y84+Y74+Y69+Y15+Y21+Y37+Y29</f>
        <v>44978872</v>
      </c>
      <c r="Z85" s="1177">
        <f>Z50+Z44+Z57+Z64+Z79+Z84+Z74+Z69+Z15+Z21+Z37+Z29</f>
        <v>1830472.8249999997</v>
      </c>
      <c r="AA85" s="1177">
        <f>AA50+AA44+AA57+AA64+AA79+AA84+AA74+AA69+AA15+AA21+AA37+AA29</f>
        <v>92791955.025000006</v>
      </c>
      <c r="AB85" s="1177">
        <f>AB50+AB44+AB57+AB64+AB79+AB84+AB74+AB69+AB15+AB21+AB37+AB29</f>
        <v>112286915.02500001</v>
      </c>
      <c r="AC85" s="1146"/>
    </row>
    <row r="86" spans="1:29">
      <c r="AC86" s="1146"/>
    </row>
    <row r="87" spans="1:29" ht="21">
      <c r="H87" s="1368"/>
      <c r="I87" s="1368"/>
      <c r="J87" s="1368"/>
      <c r="K87" s="1368"/>
      <c r="L87" s="1368"/>
      <c r="M87" s="1368"/>
      <c r="N87" s="1368"/>
      <c r="O87" s="1368"/>
      <c r="P87" s="1368"/>
      <c r="Q87" s="1368"/>
      <c r="R87" s="1368"/>
      <c r="S87" s="1368"/>
      <c r="AB87" s="1146"/>
      <c r="AC87" s="1146"/>
    </row>
    <row r="88" spans="1:29" ht="21">
      <c r="H88" s="1368"/>
      <c r="I88" s="1369" t="s">
        <v>640</v>
      </c>
      <c r="J88" s="1368"/>
      <c r="K88" s="1368"/>
      <c r="L88" s="1368"/>
      <c r="M88" s="1368"/>
      <c r="N88" s="1368"/>
      <c r="O88" s="1368"/>
      <c r="P88" s="1368"/>
      <c r="Q88" s="1368"/>
      <c r="R88" s="1369" t="s">
        <v>1167</v>
      </c>
      <c r="S88" s="1368"/>
      <c r="U88" s="1120" t="s">
        <v>1518</v>
      </c>
      <c r="V88" s="1146">
        <f>J85+S85+'фин календарь 2027 спортсмены'!J85+'фин календарь 2027 спортсмены'!S85</f>
        <v>157102064</v>
      </c>
    </row>
    <row r="89" spans="1:29" ht="21">
      <c r="A89" s="674"/>
      <c r="B89" s="674"/>
      <c r="C89" s="674"/>
      <c r="D89" s="1212"/>
      <c r="F89" s="917"/>
      <c r="G89" s="674"/>
      <c r="H89" s="1369"/>
      <c r="I89" s="1369"/>
      <c r="J89" s="1369"/>
      <c r="K89" s="1370"/>
      <c r="L89" s="1369"/>
      <c r="M89" s="1368"/>
      <c r="N89" s="1368"/>
      <c r="O89" s="1368"/>
      <c r="P89" s="1368"/>
      <c r="Q89" s="1368"/>
      <c r="R89" s="1369"/>
      <c r="S89" s="1368"/>
      <c r="U89" s="1120" t="s">
        <v>1516</v>
      </c>
      <c r="V89" s="1146">
        <f>AB85+'фин календарь 2027 спортсмены'!AB85-'фин календарь 2027 тренера'!V88-'фин календарь 2027 тренера'!V90</f>
        <v>194836248.67500001</v>
      </c>
      <c r="AB89" s="1146"/>
    </row>
    <row r="90" spans="1:29" ht="21">
      <c r="A90" s="674"/>
      <c r="B90" s="674"/>
      <c r="C90" s="674"/>
      <c r="D90" s="1212"/>
      <c r="E90" s="916"/>
      <c r="F90" s="917"/>
      <c r="G90" s="674"/>
      <c r="H90" s="1369"/>
      <c r="I90" s="1369"/>
      <c r="J90" s="1371"/>
      <c r="K90" s="1370"/>
      <c r="L90" s="1371"/>
      <c r="M90" s="1368"/>
      <c r="N90" s="1368"/>
      <c r="O90" s="1368"/>
      <c r="P90" s="1368"/>
      <c r="Q90" s="1368"/>
      <c r="R90" s="1369"/>
      <c r="S90" s="1368"/>
      <c r="U90" s="1120" t="s">
        <v>1517</v>
      </c>
      <c r="V90" s="1146">
        <f>N85+U85+'фин календарь 2027 спортсмены'!L85+'фин календарь 2027 спортсмены'!S85</f>
        <v>145451565.80000001</v>
      </c>
    </row>
    <row r="91" spans="1:29" ht="21">
      <c r="A91" s="674"/>
      <c r="B91" s="674"/>
      <c r="C91" s="674"/>
      <c r="D91" s="1212"/>
      <c r="E91" s="916"/>
      <c r="F91" s="917"/>
      <c r="G91" s="674"/>
      <c r="H91" s="1369"/>
      <c r="I91" s="1369" t="s">
        <v>1166</v>
      </c>
      <c r="J91" s="1369"/>
      <c r="K91" s="1370"/>
      <c r="L91" s="1369"/>
      <c r="M91" s="1368"/>
      <c r="N91" s="1368"/>
      <c r="O91" s="1368"/>
      <c r="P91" s="1368"/>
      <c r="Q91" s="1368"/>
      <c r="R91" s="1369" t="s">
        <v>1168</v>
      </c>
      <c r="S91" s="1368"/>
      <c r="AB91" s="1146"/>
    </row>
    <row r="92" spans="1:29" ht="21">
      <c r="E92" s="916"/>
      <c r="H92" s="1368"/>
      <c r="I92" s="1368"/>
      <c r="J92" s="1368"/>
      <c r="K92" s="1368"/>
      <c r="L92" s="1368"/>
      <c r="M92" s="1368"/>
      <c r="N92" s="1368"/>
      <c r="O92" s="1368"/>
      <c r="P92" s="1368"/>
      <c r="Q92" s="1368"/>
      <c r="R92" s="1368"/>
      <c r="S92" s="1368"/>
    </row>
  </sheetData>
  <mergeCells count="47">
    <mergeCell ref="A85:E85"/>
    <mergeCell ref="A70:AB70"/>
    <mergeCell ref="A74:G74"/>
    <mergeCell ref="A75:AB75"/>
    <mergeCell ref="A79:H79"/>
    <mergeCell ref="A80:AB80"/>
    <mergeCell ref="A84:H84"/>
    <mergeCell ref="A69:H69"/>
    <mergeCell ref="A30:AB30"/>
    <mergeCell ref="A37:E37"/>
    <mergeCell ref="A38:AB38"/>
    <mergeCell ref="A44:H44"/>
    <mergeCell ref="A45:AB45"/>
    <mergeCell ref="A50:H50"/>
    <mergeCell ref="A51:AB51"/>
    <mergeCell ref="A57:H57"/>
    <mergeCell ref="A58:AB58"/>
    <mergeCell ref="A64:H64"/>
    <mergeCell ref="A65:AB65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0.79998168889431442"/>
  </sheetPr>
  <dimension ref="A1:AC92"/>
  <sheetViews>
    <sheetView view="pageBreakPreview" topLeftCell="Q79" zoomScale="50" zoomScaleNormal="70" zoomScaleSheetLayoutView="50" workbookViewId="0">
      <selection activeCell="I88" sqref="I88:S92"/>
    </sheetView>
  </sheetViews>
  <sheetFormatPr defaultRowHeight="18.75"/>
  <cols>
    <col min="1" max="1" width="8.5703125" style="1120" customWidth="1"/>
    <col min="2" max="2" width="8" style="1120" customWidth="1"/>
    <col min="3" max="3" width="28.7109375" style="1120" customWidth="1"/>
    <col min="4" max="4" width="19.85546875" style="1120" customWidth="1"/>
    <col min="5" max="5" width="31.5703125" style="1120" customWidth="1"/>
    <col min="6" max="6" width="8.28515625" style="1120" customWidth="1"/>
    <col min="7" max="7" width="7.28515625" style="1120" customWidth="1"/>
    <col min="8" max="8" width="6.5703125" style="1120" hidden="1" customWidth="1"/>
    <col min="9" max="9" width="13.7109375" style="1120" customWidth="1"/>
    <col min="10" max="10" width="17.140625" style="1120" customWidth="1"/>
    <col min="11" max="11" width="13.5703125" style="1120" customWidth="1"/>
    <col min="12" max="12" width="21.28515625" style="1120" customWidth="1"/>
    <col min="13" max="13" width="14.7109375" style="1120" customWidth="1"/>
    <col min="14" max="14" width="18.85546875" style="1120" customWidth="1"/>
    <col min="15" max="15" width="20.5703125" style="1120" customWidth="1"/>
    <col min="16" max="16" width="16.140625" style="1120" customWidth="1"/>
    <col min="17" max="17" width="16.28515625" style="1120" customWidth="1"/>
    <col min="18" max="18" width="17.42578125" style="1120" customWidth="1"/>
    <col min="19" max="19" width="18.7109375" style="1120" customWidth="1"/>
    <col min="20" max="20" width="17.85546875" style="1120" customWidth="1"/>
    <col min="21" max="21" width="22.5703125" style="1120" customWidth="1"/>
    <col min="22" max="22" width="15.28515625" style="1120" customWidth="1"/>
    <col min="23" max="23" width="21" style="1120" customWidth="1"/>
    <col min="24" max="24" width="17.140625" style="1120" customWidth="1"/>
    <col min="25" max="25" width="20.42578125" style="1120" customWidth="1"/>
    <col min="26" max="26" width="14.7109375" style="1120" customWidth="1"/>
    <col min="27" max="27" width="18.140625" style="1120" customWidth="1"/>
    <col min="28" max="28" width="17.42578125" style="1120" customWidth="1"/>
    <col min="29" max="29" width="23.85546875" style="1120" customWidth="1"/>
    <col min="30" max="16384" width="9.140625" style="1120"/>
  </cols>
  <sheetData>
    <row r="1" spans="1:29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</row>
    <row r="2" spans="1:29">
      <c r="A2" s="1119"/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21" t="s">
        <v>1374</v>
      </c>
      <c r="Q2" s="1119"/>
      <c r="R2" s="1119"/>
      <c r="S2" s="1119"/>
      <c r="T2" s="1119"/>
      <c r="U2" s="1119"/>
      <c r="V2" s="1119"/>
      <c r="W2" s="1119"/>
      <c r="X2" s="1119"/>
      <c r="Y2" s="1119"/>
      <c r="Z2" s="1119"/>
      <c r="AA2" s="1119"/>
      <c r="AB2" s="1119"/>
    </row>
    <row r="3" spans="1:29">
      <c r="A3" s="111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646"/>
      <c r="W3" s="1119"/>
      <c r="X3" s="1119"/>
      <c r="Y3" s="1119"/>
      <c r="Z3" s="1119"/>
      <c r="AA3" s="1119"/>
      <c r="AB3" s="1119"/>
    </row>
    <row r="4" spans="1:29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21"/>
      <c r="Q4" s="1121"/>
      <c r="R4" s="1119"/>
      <c r="S4" s="1119"/>
      <c r="T4" s="1119"/>
      <c r="U4" s="1119"/>
      <c r="V4" s="1119"/>
      <c r="W4" s="1119"/>
      <c r="X4" s="1119"/>
      <c r="Y4" s="1119"/>
      <c r="Z4" s="1119"/>
      <c r="AA4" s="646" t="s">
        <v>1293</v>
      </c>
      <c r="AB4" s="646">
        <v>450.47</v>
      </c>
    </row>
    <row r="5" spans="1:29">
      <c r="A5" s="1119"/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21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646" t="s">
        <v>1294</v>
      </c>
      <c r="AB5" s="646">
        <v>488.81</v>
      </c>
    </row>
    <row r="6" spans="1:29">
      <c r="A6" s="1122"/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2"/>
      <c r="U6" s="1122"/>
      <c r="V6" s="1122"/>
      <c r="W6" s="1122"/>
      <c r="X6" s="1122"/>
      <c r="Y6" s="1122"/>
      <c r="Z6" s="1122"/>
      <c r="AA6" s="1122" t="s">
        <v>1295</v>
      </c>
      <c r="AB6" s="646">
        <v>513.65</v>
      </c>
    </row>
    <row r="7" spans="1:29">
      <c r="A7" s="1799" t="s">
        <v>2</v>
      </c>
      <c r="B7" s="1787" t="s">
        <v>2</v>
      </c>
      <c r="C7" s="1800" t="s">
        <v>271</v>
      </c>
      <c r="D7" s="1787" t="s">
        <v>272</v>
      </c>
      <c r="E7" s="1787" t="s">
        <v>273</v>
      </c>
      <c r="F7" s="1792" t="s">
        <v>274</v>
      </c>
      <c r="G7" s="1788" t="s">
        <v>275</v>
      </c>
      <c r="H7" s="1788" t="s">
        <v>279</v>
      </c>
      <c r="I7" s="1787" t="s">
        <v>276</v>
      </c>
      <c r="J7" s="1787"/>
      <c r="K7" s="1787"/>
      <c r="L7" s="1787"/>
      <c r="M7" s="1787"/>
      <c r="N7" s="1787"/>
      <c r="O7" s="1787"/>
      <c r="P7" s="1787"/>
      <c r="Q7" s="1792" t="s">
        <v>277</v>
      </c>
      <c r="R7" s="1825" t="s">
        <v>278</v>
      </c>
      <c r="S7" s="1825"/>
      <c r="T7" s="1825"/>
      <c r="U7" s="1825"/>
      <c r="V7" s="1825"/>
      <c r="W7" s="1825"/>
      <c r="X7" s="1825"/>
      <c r="Y7" s="1825"/>
      <c r="Z7" s="1825"/>
      <c r="AA7" s="1825"/>
      <c r="AB7" s="1825" t="s">
        <v>233</v>
      </c>
    </row>
    <row r="8" spans="1:29" ht="18.75" customHeight="1">
      <c r="A8" s="1799"/>
      <c r="B8" s="1787"/>
      <c r="C8" s="1800"/>
      <c r="D8" s="1787"/>
      <c r="E8" s="1787"/>
      <c r="F8" s="1792"/>
      <c r="G8" s="1789"/>
      <c r="H8" s="1789"/>
      <c r="I8" s="1787" t="s">
        <v>280</v>
      </c>
      <c r="J8" s="1787"/>
      <c r="K8" s="1787" t="s">
        <v>281</v>
      </c>
      <c r="L8" s="1787"/>
      <c r="M8" s="1787" t="s">
        <v>282</v>
      </c>
      <c r="N8" s="1787"/>
      <c r="O8" s="1787" t="s">
        <v>283</v>
      </c>
      <c r="P8" s="1787"/>
      <c r="Q8" s="1792"/>
      <c r="R8" s="1825" t="s">
        <v>280</v>
      </c>
      <c r="S8" s="1825"/>
      <c r="T8" s="1825" t="s">
        <v>285</v>
      </c>
      <c r="U8" s="1825"/>
      <c r="V8" s="1825" t="s">
        <v>286</v>
      </c>
      <c r="W8" s="1825"/>
      <c r="X8" s="1825" t="s">
        <v>283</v>
      </c>
      <c r="Y8" s="1825"/>
      <c r="Z8" s="1825" t="s">
        <v>287</v>
      </c>
      <c r="AA8" s="1825" t="s">
        <v>290</v>
      </c>
      <c r="AB8" s="1825"/>
    </row>
    <row r="9" spans="1:29" ht="56.25">
      <c r="A9" s="1799"/>
      <c r="B9" s="1787"/>
      <c r="C9" s="1800"/>
      <c r="D9" s="1787"/>
      <c r="E9" s="1787"/>
      <c r="F9" s="1792"/>
      <c r="G9" s="1790"/>
      <c r="H9" s="1791"/>
      <c r="I9" s="1214" t="s">
        <v>291</v>
      </c>
      <c r="J9" s="1215" t="s">
        <v>292</v>
      </c>
      <c r="K9" s="1214" t="s">
        <v>293</v>
      </c>
      <c r="L9" s="1215" t="s">
        <v>292</v>
      </c>
      <c r="M9" s="1215" t="s">
        <v>294</v>
      </c>
      <c r="N9" s="1215" t="s">
        <v>292</v>
      </c>
      <c r="O9" s="1123" t="s">
        <v>295</v>
      </c>
      <c r="P9" s="1215" t="s">
        <v>4</v>
      </c>
      <c r="Q9" s="1792"/>
      <c r="R9" s="1214" t="s">
        <v>291</v>
      </c>
      <c r="S9" s="1214" t="s">
        <v>292</v>
      </c>
      <c r="T9" s="1214" t="s">
        <v>294</v>
      </c>
      <c r="U9" s="1214" t="s">
        <v>292</v>
      </c>
      <c r="V9" s="1214" t="s">
        <v>296</v>
      </c>
      <c r="W9" s="1214" t="s">
        <v>292</v>
      </c>
      <c r="X9" s="1214" t="s">
        <v>297</v>
      </c>
      <c r="Y9" s="1214" t="s">
        <v>4</v>
      </c>
      <c r="Z9" s="1825"/>
      <c r="AA9" s="1825"/>
      <c r="AB9" s="1825"/>
    </row>
    <row r="10" spans="1:29">
      <c r="A10" s="1801" t="s">
        <v>1296</v>
      </c>
      <c r="B10" s="1801"/>
      <c r="C10" s="1801"/>
      <c r="D10" s="180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01"/>
      <c r="Q10" s="1801"/>
      <c r="R10" s="1801"/>
      <c r="S10" s="1801"/>
      <c r="T10" s="1801"/>
      <c r="U10" s="1801"/>
      <c r="V10" s="1801"/>
      <c r="W10" s="1801"/>
      <c r="X10" s="1801"/>
      <c r="Y10" s="1801"/>
      <c r="Z10" s="1801"/>
      <c r="AA10" s="1801"/>
      <c r="AB10" s="1801"/>
    </row>
    <row r="11" spans="1:29" ht="69.75" customHeight="1">
      <c r="A11" s="1124">
        <v>1</v>
      </c>
      <c r="B11" s="1125">
        <v>1</v>
      </c>
      <c r="C11" s="1126" t="s">
        <v>1297</v>
      </c>
      <c r="D11" s="1127" t="s">
        <v>1298</v>
      </c>
      <c r="E11" s="1127" t="s">
        <v>1299</v>
      </c>
      <c r="F11" s="1127">
        <v>12</v>
      </c>
      <c r="G11" s="1128">
        <v>15</v>
      </c>
      <c r="H11" s="1125"/>
      <c r="I11" s="1127"/>
      <c r="J11" s="1129"/>
      <c r="K11" s="1127"/>
      <c r="L11" s="1127"/>
      <c r="M11" s="1124"/>
      <c r="N11" s="1124"/>
      <c r="O11" s="1124"/>
      <c r="P11" s="1124"/>
      <c r="Q11" s="1124">
        <f t="shared" ref="Q11:Q14" si="0">SUM(J11+L11+N11+P11)</f>
        <v>0</v>
      </c>
      <c r="R11" s="1130">
        <f>80*$AB$4</f>
        <v>36037.600000000006</v>
      </c>
      <c r="S11" s="1131">
        <f>R11*F11*(G11+H11)</f>
        <v>6486768.0000000009</v>
      </c>
      <c r="T11" s="1130">
        <v>27000</v>
      </c>
      <c r="U11" s="1131">
        <f>T11*F11*(G11+H11)</f>
        <v>4860000</v>
      </c>
      <c r="V11" s="1133">
        <v>657</v>
      </c>
      <c r="W11" s="1131">
        <f t="shared" ref="W11:W14" si="1">V11*(G11+H11)*F11</f>
        <v>118260</v>
      </c>
      <c r="X11" s="1134">
        <v>267695</v>
      </c>
      <c r="Y11" s="1131">
        <f>X11*(G11+H11)</f>
        <v>4015425</v>
      </c>
      <c r="Z11" s="1130"/>
      <c r="AA11" s="1135">
        <f>S11+U11+W11+Y11+Z11</f>
        <v>15480453</v>
      </c>
      <c r="AB11" s="1135">
        <f t="shared" ref="AB11:AB14" si="2">AA11+Q11</f>
        <v>15480453</v>
      </c>
    </row>
    <row r="12" spans="1:29" ht="84" customHeight="1">
      <c r="A12" s="1124">
        <v>2</v>
      </c>
      <c r="B12" s="1125">
        <v>2</v>
      </c>
      <c r="C12" s="1136" t="s">
        <v>1300</v>
      </c>
      <c r="D12" s="1127" t="s">
        <v>1298</v>
      </c>
      <c r="E12" s="1127" t="s">
        <v>1301</v>
      </c>
      <c r="F12" s="1127">
        <v>4</v>
      </c>
      <c r="G12" s="1128">
        <v>15</v>
      </c>
      <c r="H12" s="1125"/>
      <c r="I12" s="1127"/>
      <c r="J12" s="1137"/>
      <c r="K12" s="1127"/>
      <c r="L12" s="1131"/>
      <c r="M12" s="1138"/>
      <c r="N12" s="1138"/>
      <c r="O12" s="1124"/>
      <c r="P12" s="1124"/>
      <c r="Q12" s="1138">
        <f t="shared" si="0"/>
        <v>0</v>
      </c>
      <c r="R12" s="1130">
        <f>80*$AB$4</f>
        <v>36037.600000000006</v>
      </c>
      <c r="S12" s="1131">
        <f>R12*F12*(G12+H12)</f>
        <v>2162256.0000000005</v>
      </c>
      <c r="T12" s="1130">
        <v>27000</v>
      </c>
      <c r="U12" s="1131">
        <f>T12*F12*(G12+H12)</f>
        <v>1620000</v>
      </c>
      <c r="V12" s="1133">
        <v>657</v>
      </c>
      <c r="W12" s="1131">
        <f t="shared" si="1"/>
        <v>39420</v>
      </c>
      <c r="X12" s="1134">
        <v>267695</v>
      </c>
      <c r="Y12" s="1131">
        <f>X12*(G12+H12)</f>
        <v>4015425</v>
      </c>
      <c r="Z12" s="1130"/>
      <c r="AA12" s="1135">
        <f t="shared" ref="AA12:AA14" si="3">S12+U12+W12+Y12+Z12</f>
        <v>7837101</v>
      </c>
      <c r="AB12" s="1135">
        <f t="shared" si="2"/>
        <v>7837101</v>
      </c>
    </row>
    <row r="13" spans="1:29" ht="87" customHeight="1">
      <c r="A13" s="1124">
        <v>3</v>
      </c>
      <c r="B13" s="1125">
        <v>3</v>
      </c>
      <c r="C13" s="1126" t="s">
        <v>1297</v>
      </c>
      <c r="D13" s="1127" t="s">
        <v>1302</v>
      </c>
      <c r="E13" s="1127" t="s">
        <v>1429</v>
      </c>
      <c r="F13" s="1127">
        <v>12</v>
      </c>
      <c r="G13" s="1128">
        <v>15</v>
      </c>
      <c r="H13" s="1139"/>
      <c r="I13" s="1127"/>
      <c r="J13" s="1129"/>
      <c r="K13" s="1127"/>
      <c r="L13" s="1127"/>
      <c r="M13" s="1124"/>
      <c r="N13" s="1124"/>
      <c r="O13" s="1124"/>
      <c r="P13" s="1124"/>
      <c r="Q13" s="1124">
        <f t="shared" si="0"/>
        <v>0</v>
      </c>
      <c r="R13" s="1130">
        <f>80*$AB$4</f>
        <v>36037.600000000006</v>
      </c>
      <c r="S13" s="1131">
        <f>R13*F13*(G13+H13)</f>
        <v>6486768.0000000009</v>
      </c>
      <c r="T13" s="1130">
        <v>27000</v>
      </c>
      <c r="U13" s="1131">
        <f>T13*F13*(G13+H13)</f>
        <v>4860000</v>
      </c>
      <c r="V13" s="1132">
        <v>1889</v>
      </c>
      <c r="W13" s="1131">
        <f t="shared" si="1"/>
        <v>340020</v>
      </c>
      <c r="X13" s="1134">
        <v>389563</v>
      </c>
      <c r="Y13" s="1131">
        <f>X13*(G13+H13)</f>
        <v>5843445</v>
      </c>
      <c r="Z13" s="1130">
        <f>80*$AB$5*(G73+H73)</f>
        <v>586572</v>
      </c>
      <c r="AA13" s="1135">
        <f t="shared" si="3"/>
        <v>18116805</v>
      </c>
      <c r="AB13" s="1135">
        <f t="shared" si="2"/>
        <v>18116805</v>
      </c>
    </row>
    <row r="14" spans="1:29" ht="96" customHeight="1">
      <c r="A14" s="1124">
        <v>4</v>
      </c>
      <c r="B14" s="1125">
        <v>4</v>
      </c>
      <c r="C14" s="1136" t="s">
        <v>1300</v>
      </c>
      <c r="D14" s="1127" t="s">
        <v>1303</v>
      </c>
      <c r="E14" s="1127" t="s">
        <v>1430</v>
      </c>
      <c r="F14" s="1127">
        <v>5</v>
      </c>
      <c r="G14" s="1128">
        <v>15</v>
      </c>
      <c r="H14" s="1139"/>
      <c r="I14" s="1131"/>
      <c r="J14" s="1137"/>
      <c r="K14" s="1131"/>
      <c r="L14" s="1140"/>
      <c r="M14" s="1138"/>
      <c r="N14" s="1141"/>
      <c r="O14" s="1138"/>
      <c r="P14" s="1141"/>
      <c r="Q14" s="1141">
        <f t="shared" si="0"/>
        <v>0</v>
      </c>
      <c r="R14" s="1130">
        <f>80*$AB$4</f>
        <v>36037.600000000006</v>
      </c>
      <c r="S14" s="1131">
        <f>R14*F14*(G14+H14)</f>
        <v>2702820.0000000005</v>
      </c>
      <c r="T14" s="1130">
        <v>26000</v>
      </c>
      <c r="U14" s="1131">
        <f>T14*F14*(G14+H14)</f>
        <v>1950000</v>
      </c>
      <c r="V14" s="1132">
        <v>1889</v>
      </c>
      <c r="W14" s="1131">
        <f t="shared" si="1"/>
        <v>141675</v>
      </c>
      <c r="X14" s="1134">
        <v>389563</v>
      </c>
      <c r="Y14" s="1131">
        <f>X14*(G14+H14)+147566</f>
        <v>5991011</v>
      </c>
      <c r="Z14" s="1130">
        <f>80*$AB$5*(G74+H74)</f>
        <v>0</v>
      </c>
      <c r="AA14" s="1135">
        <f t="shared" si="3"/>
        <v>10785506</v>
      </c>
      <c r="AB14" s="1135">
        <f t="shared" si="2"/>
        <v>10785506</v>
      </c>
    </row>
    <row r="15" spans="1:29">
      <c r="A15" s="1142"/>
      <c r="B15" s="1802" t="s">
        <v>38</v>
      </c>
      <c r="C15" s="1802"/>
      <c r="D15" s="1802"/>
      <c r="E15" s="1802"/>
      <c r="F15" s="1143"/>
      <c r="G15" s="1143"/>
      <c r="H15" s="1144"/>
      <c r="I15" s="1145"/>
      <c r="J15" s="1145">
        <f>SUM(J11:J14)</f>
        <v>0</v>
      </c>
      <c r="K15" s="1145"/>
      <c r="L15" s="1145">
        <f>SUM(L11:L14)</f>
        <v>0</v>
      </c>
      <c r="M15" s="1145"/>
      <c r="N15" s="1145">
        <f>SUM(N11:N14)</f>
        <v>0</v>
      </c>
      <c r="O15" s="1213"/>
      <c r="P15" s="1145">
        <f>SUM(P11:P14)</f>
        <v>0</v>
      </c>
      <c r="Q15" s="1145">
        <f>SUM(Q11:Q14)</f>
        <v>0</v>
      </c>
      <c r="R15" s="1213"/>
      <c r="S15" s="1145">
        <f>SUM(S11:S14)</f>
        <v>17838612.000000004</v>
      </c>
      <c r="T15" s="1213"/>
      <c r="U15" s="1145">
        <f>SUM(U11:U14)</f>
        <v>13290000</v>
      </c>
      <c r="V15" s="1213"/>
      <c r="W15" s="1145">
        <f>SUM(W11:W14)</f>
        <v>639375</v>
      </c>
      <c r="X15" s="1213"/>
      <c r="Y15" s="1145">
        <f>SUM(Y11:Y14)</f>
        <v>19865306</v>
      </c>
      <c r="Z15" s="1145">
        <f>SUM(Z11:Z14)</f>
        <v>586572</v>
      </c>
      <c r="AA15" s="1145">
        <f>SUM(AA11:AA14)</f>
        <v>52219865</v>
      </c>
      <c r="AB15" s="1145">
        <f>SUM(AB11:AB14)</f>
        <v>52219865</v>
      </c>
      <c r="AC15" s="1146">
        <f>AB15-AA15-Q15</f>
        <v>0</v>
      </c>
    </row>
    <row r="16" spans="1:29">
      <c r="A16" s="1801" t="s">
        <v>1304</v>
      </c>
      <c r="B16" s="1801"/>
      <c r="C16" s="1801"/>
      <c r="D16" s="1801"/>
      <c r="E16" s="1801"/>
      <c r="F16" s="1801"/>
      <c r="G16" s="1801"/>
      <c r="H16" s="1801"/>
      <c r="I16" s="1801"/>
      <c r="J16" s="1801"/>
      <c r="K16" s="1801"/>
      <c r="L16" s="1801"/>
      <c r="M16" s="1801"/>
      <c r="N16" s="1801"/>
      <c r="O16" s="1801"/>
      <c r="P16" s="1801"/>
      <c r="Q16" s="1801"/>
      <c r="R16" s="1801"/>
      <c r="S16" s="1801"/>
      <c r="T16" s="1801"/>
      <c r="U16" s="1801"/>
      <c r="V16" s="1801"/>
      <c r="W16" s="1801"/>
      <c r="X16" s="1801"/>
      <c r="Y16" s="1801"/>
      <c r="Z16" s="1801"/>
      <c r="AA16" s="1801"/>
      <c r="AB16" s="1801"/>
    </row>
    <row r="17" spans="1:29" ht="56.25">
      <c r="A17" s="1124">
        <v>5</v>
      </c>
      <c r="B17" s="1125">
        <v>1</v>
      </c>
      <c r="C17" s="1147" t="s">
        <v>1297</v>
      </c>
      <c r="D17" s="1127" t="s">
        <v>1146</v>
      </c>
      <c r="E17" s="1127" t="s">
        <v>1299</v>
      </c>
      <c r="F17" s="1127">
        <v>14</v>
      </c>
      <c r="G17" s="1128">
        <v>15</v>
      </c>
      <c r="H17" s="1125"/>
      <c r="I17" s="1127"/>
      <c r="J17" s="1137"/>
      <c r="K17" s="1127"/>
      <c r="L17" s="1131"/>
      <c r="M17" s="1138"/>
      <c r="N17" s="1138"/>
      <c r="O17" s="1124"/>
      <c r="P17" s="1124"/>
      <c r="Q17" s="1138">
        <f t="shared" ref="Q17:Q20" si="4">SUM(J17+L17+N17+P17)</f>
        <v>0</v>
      </c>
      <c r="R17" s="1130">
        <f>80*$AB$4</f>
        <v>36037.600000000006</v>
      </c>
      <c r="S17" s="1131">
        <f>R17*F17*(G17+H17)</f>
        <v>7567896.0000000009</v>
      </c>
      <c r="T17" s="1130">
        <v>26000</v>
      </c>
      <c r="U17" s="1131">
        <f>T17*F17*(G17+H17)</f>
        <v>5460000</v>
      </c>
      <c r="V17" s="1133">
        <v>657</v>
      </c>
      <c r="W17" s="1131">
        <f t="shared" ref="W17:W20" si="5">V17*(G17+H17)*F17</f>
        <v>137970</v>
      </c>
      <c r="X17" s="1134">
        <v>267695</v>
      </c>
      <c r="Y17" s="1131">
        <f>X17*(G17+H17)</f>
        <v>4015425</v>
      </c>
      <c r="Z17" s="1130"/>
      <c r="AA17" s="1135">
        <f t="shared" ref="AA17:AA20" si="6">S17+U17+W17+Y17+Z17</f>
        <v>17181291</v>
      </c>
      <c r="AB17" s="1148">
        <f t="shared" ref="AB17:AB20" si="7">Q17+AA17</f>
        <v>17181291</v>
      </c>
    </row>
    <row r="18" spans="1:29" ht="112.5">
      <c r="A18" s="1124">
        <v>6</v>
      </c>
      <c r="B18" s="1125">
        <v>2</v>
      </c>
      <c r="C18" s="1147" t="s">
        <v>1118</v>
      </c>
      <c r="D18" s="1127" t="s">
        <v>326</v>
      </c>
      <c r="E18" s="1127" t="s">
        <v>1443</v>
      </c>
      <c r="F18" s="1127">
        <v>15</v>
      </c>
      <c r="G18" s="1128">
        <v>15</v>
      </c>
      <c r="H18" s="1125"/>
      <c r="I18" s="1127">
        <v>12000</v>
      </c>
      <c r="J18" s="1129">
        <f>(G18+H18)*I18*14</f>
        <v>2520000</v>
      </c>
      <c r="K18" s="1149">
        <f>2.5*4335</f>
        <v>10837.5</v>
      </c>
      <c r="L18" s="1127">
        <f t="shared" ref="L18:L19" si="8">K18*F18*G18</f>
        <v>2438437.5</v>
      </c>
      <c r="M18" s="1124">
        <f>2*4335</f>
        <v>8670</v>
      </c>
      <c r="N18" s="1124">
        <f t="shared" ref="N18:N19" si="9">M18*H18*F18</f>
        <v>0</v>
      </c>
      <c r="O18" s="1124">
        <v>10000</v>
      </c>
      <c r="P18" s="1124">
        <f>O18*(H18+G18)*2</f>
        <v>300000</v>
      </c>
      <c r="Q18" s="1124">
        <f t="shared" si="4"/>
        <v>5258437.5</v>
      </c>
      <c r="R18" s="1124"/>
      <c r="S18" s="1124"/>
      <c r="T18" s="1124"/>
      <c r="U18" s="1124"/>
      <c r="V18" s="1124"/>
      <c r="W18" s="1124">
        <f t="shared" si="5"/>
        <v>0</v>
      </c>
      <c r="X18" s="1124"/>
      <c r="Y18" s="1124"/>
      <c r="Z18" s="1124"/>
      <c r="AA18" s="1138">
        <f t="shared" si="6"/>
        <v>0</v>
      </c>
      <c r="AB18" s="1148">
        <f t="shared" si="7"/>
        <v>5258437.5</v>
      </c>
    </row>
    <row r="19" spans="1:29" ht="112.5">
      <c r="A19" s="1124">
        <v>7</v>
      </c>
      <c r="B19" s="1125">
        <v>3</v>
      </c>
      <c r="C19" s="1150" t="s">
        <v>1119</v>
      </c>
      <c r="D19" s="1127" t="s">
        <v>1305</v>
      </c>
      <c r="E19" s="1127" t="s">
        <v>1443</v>
      </c>
      <c r="F19" s="1127">
        <v>15</v>
      </c>
      <c r="G19" s="1128">
        <v>15</v>
      </c>
      <c r="H19" s="1125"/>
      <c r="I19" s="1127">
        <v>12000</v>
      </c>
      <c r="J19" s="1129">
        <f>(G19+H19)*I19*14</f>
        <v>2520000</v>
      </c>
      <c r="K19" s="1149">
        <f>2.5*4335</f>
        <v>10837.5</v>
      </c>
      <c r="L19" s="1127">
        <f t="shared" si="8"/>
        <v>2438437.5</v>
      </c>
      <c r="M19" s="1124">
        <f>2*4335</f>
        <v>8670</v>
      </c>
      <c r="N19" s="1124">
        <f t="shared" si="9"/>
        <v>0</v>
      </c>
      <c r="O19" s="1124">
        <v>10000</v>
      </c>
      <c r="P19" s="1124">
        <f>O19*(H19+G19)*2</f>
        <v>300000</v>
      </c>
      <c r="Q19" s="1124">
        <f t="shared" si="4"/>
        <v>5258437.5</v>
      </c>
      <c r="R19" s="1124"/>
      <c r="S19" s="1124"/>
      <c r="T19" s="1124"/>
      <c r="U19" s="1124"/>
      <c r="V19" s="1124"/>
      <c r="W19" s="1124">
        <f t="shared" si="5"/>
        <v>0</v>
      </c>
      <c r="X19" s="1124"/>
      <c r="Y19" s="1124"/>
      <c r="Z19" s="1124"/>
      <c r="AA19" s="1138">
        <f t="shared" si="6"/>
        <v>0</v>
      </c>
      <c r="AB19" s="1148">
        <f t="shared" si="7"/>
        <v>5258437.5</v>
      </c>
    </row>
    <row r="20" spans="1:29" ht="37.5">
      <c r="A20" s="1124">
        <v>8</v>
      </c>
      <c r="B20" s="1125">
        <v>4</v>
      </c>
      <c r="C20" s="1151" t="s">
        <v>1306</v>
      </c>
      <c r="D20" s="1127" t="s">
        <v>332</v>
      </c>
      <c r="E20" s="1127" t="s">
        <v>1307</v>
      </c>
      <c r="F20" s="1127">
        <v>6</v>
      </c>
      <c r="G20" s="1128">
        <v>10</v>
      </c>
      <c r="H20" s="1125"/>
      <c r="I20" s="1127"/>
      <c r="J20" s="1129"/>
      <c r="K20" s="1127"/>
      <c r="L20" s="1127"/>
      <c r="M20" s="1124"/>
      <c r="N20" s="1124"/>
      <c r="O20" s="1124"/>
      <c r="P20" s="1124"/>
      <c r="Q20" s="1138">
        <f t="shared" si="4"/>
        <v>0</v>
      </c>
      <c r="R20" s="1130">
        <f>80*$AB$4</f>
        <v>36037.600000000006</v>
      </c>
      <c r="S20" s="1131">
        <f>R20*F20*(G20+H20)</f>
        <v>2162256.0000000005</v>
      </c>
      <c r="T20" s="1130">
        <v>26000</v>
      </c>
      <c r="U20" s="1131">
        <f>T20*F20*(G20+H20)</f>
        <v>1560000</v>
      </c>
      <c r="V20" s="54">
        <v>1029</v>
      </c>
      <c r="W20" s="1131">
        <f t="shared" si="5"/>
        <v>61740</v>
      </c>
      <c r="X20" s="1130">
        <v>580237</v>
      </c>
      <c r="Y20" s="1131">
        <f>X20*(G20+H20)</f>
        <v>5802370</v>
      </c>
      <c r="Z20" s="1130">
        <f>67.5*$AB$4*(G20+H20)</f>
        <v>304067.25</v>
      </c>
      <c r="AA20" s="1135">
        <f t="shared" si="6"/>
        <v>9890433.25</v>
      </c>
      <c r="AB20" s="1148">
        <f t="shared" si="7"/>
        <v>9890433.25</v>
      </c>
    </row>
    <row r="21" spans="1:29">
      <c r="A21" s="1803" t="s">
        <v>38</v>
      </c>
      <c r="B21" s="1803"/>
      <c r="C21" s="1803"/>
      <c r="D21" s="1803"/>
      <c r="E21" s="1803"/>
      <c r="F21" s="1803"/>
      <c r="G21" s="1803"/>
      <c r="H21" s="1803"/>
      <c r="I21" s="1152"/>
      <c r="J21" s="1152">
        <f>SUM(J17:J20)</f>
        <v>5040000</v>
      </c>
      <c r="K21" s="1152"/>
      <c r="L21" s="1152">
        <f>SUM(L17:L20)</f>
        <v>4876875</v>
      </c>
      <c r="M21" s="1152"/>
      <c r="N21" s="1152">
        <f>SUM(N17:N20)</f>
        <v>0</v>
      </c>
      <c r="O21" s="1152"/>
      <c r="P21" s="1152">
        <f>SUM(P17:P20)</f>
        <v>600000</v>
      </c>
      <c r="Q21" s="1152">
        <f>SUM(Q17:Q20)</f>
        <v>10516875</v>
      </c>
      <c r="R21" s="1152"/>
      <c r="S21" s="1152">
        <f>SUM(S17:S20)</f>
        <v>9730152.0000000019</v>
      </c>
      <c r="T21" s="1152"/>
      <c r="U21" s="1152">
        <f>SUM(U17:U20)</f>
        <v>7020000</v>
      </c>
      <c r="V21" s="1152"/>
      <c r="W21" s="1152">
        <f>SUM(W17:W20)</f>
        <v>199710</v>
      </c>
      <c r="X21" s="1152"/>
      <c r="Y21" s="1152">
        <f>SUM(Y17:Y20)</f>
        <v>9817795</v>
      </c>
      <c r="Z21" s="1152">
        <f>SUM(Z17:Z20)</f>
        <v>304067.25</v>
      </c>
      <c r="AA21" s="1152">
        <f>SUM(AA17:AA20)</f>
        <v>27071724.25</v>
      </c>
      <c r="AB21" s="1152">
        <f>SUM(AB17:AB20)</f>
        <v>37588599.25</v>
      </c>
      <c r="AC21" s="1120">
        <f>AB21-AA21-Q21</f>
        <v>0</v>
      </c>
    </row>
    <row r="22" spans="1:29">
      <c r="A22" s="1804" t="s">
        <v>1308</v>
      </c>
      <c r="B22" s="1805"/>
      <c r="C22" s="1805"/>
      <c r="D22" s="1805"/>
      <c r="E22" s="1805"/>
      <c r="F22" s="1805"/>
      <c r="G22" s="1805"/>
      <c r="H22" s="1805"/>
      <c r="I22" s="1805"/>
      <c r="J22" s="1805"/>
      <c r="K22" s="1805"/>
      <c r="L22" s="1805"/>
      <c r="M22" s="1805"/>
      <c r="N22" s="1805"/>
      <c r="O22" s="1805"/>
      <c r="P22" s="1805"/>
      <c r="Q22" s="1805"/>
      <c r="R22" s="1805"/>
      <c r="S22" s="1805"/>
      <c r="T22" s="1805"/>
      <c r="U22" s="1805"/>
      <c r="V22" s="1805"/>
      <c r="W22" s="1805"/>
      <c r="X22" s="1805"/>
      <c r="Y22" s="1805"/>
      <c r="Z22" s="1805"/>
      <c r="AA22" s="1805"/>
      <c r="AB22" s="1806"/>
    </row>
    <row r="23" spans="1:29" ht="37.5">
      <c r="A23" s="1124">
        <v>9</v>
      </c>
      <c r="B23" s="1129">
        <v>1</v>
      </c>
      <c r="C23" s="1136" t="s">
        <v>1309</v>
      </c>
      <c r="D23" s="1153" t="s">
        <v>408</v>
      </c>
      <c r="E23" s="1127" t="s">
        <v>1076</v>
      </c>
      <c r="F23" s="1127">
        <v>6</v>
      </c>
      <c r="G23" s="1149">
        <v>8</v>
      </c>
      <c r="H23" s="1149"/>
      <c r="I23" s="1127"/>
      <c r="J23" s="1129"/>
      <c r="K23" s="1127"/>
      <c r="L23" s="1127"/>
      <c r="M23" s="1124"/>
      <c r="N23" s="1124"/>
      <c r="O23" s="1124"/>
      <c r="P23" s="1124"/>
      <c r="Q23" s="1124">
        <f t="shared" ref="Q23:Q28" si="10">SUM(J23+L23+N23+P23)</f>
        <v>0</v>
      </c>
      <c r="R23" s="1132">
        <f>80*$AB$4</f>
        <v>36037.600000000006</v>
      </c>
      <c r="S23" s="1127">
        <f>R23*F23*(G23+H23)</f>
        <v>1729804.8000000003</v>
      </c>
      <c r="T23" s="1130">
        <v>26000</v>
      </c>
      <c r="U23" s="1127">
        <f>T23*F23*(G23+H23)</f>
        <v>1248000</v>
      </c>
      <c r="V23" s="1132">
        <v>1029</v>
      </c>
      <c r="W23" s="1127">
        <f t="shared" ref="W23:W28" si="11">V23*(G23+H23)*F23</f>
        <v>49392</v>
      </c>
      <c r="X23" s="1132">
        <v>384356</v>
      </c>
      <c r="Y23" s="1131">
        <f>X23*(G23+H23)</f>
        <v>3074848</v>
      </c>
      <c r="Z23" s="1130"/>
      <c r="AA23" s="1135">
        <f t="shared" ref="AA23:AA28" si="12">S23+U23+W23+Y23+Z23</f>
        <v>6102044.8000000007</v>
      </c>
      <c r="AB23" s="1149">
        <f t="shared" ref="AB23:AB28" si="13">Q23+AA23</f>
        <v>6102044.8000000007</v>
      </c>
    </row>
    <row r="24" spans="1:29" ht="56.25">
      <c r="A24" s="1124">
        <v>10</v>
      </c>
      <c r="B24" s="1129">
        <v>2</v>
      </c>
      <c r="C24" s="1126" t="s">
        <v>330</v>
      </c>
      <c r="D24" s="1153" t="s">
        <v>1310</v>
      </c>
      <c r="E24" s="1127" t="s">
        <v>1442</v>
      </c>
      <c r="F24" s="1127">
        <v>15</v>
      </c>
      <c r="G24" s="1149">
        <v>8</v>
      </c>
      <c r="H24" s="1149"/>
      <c r="I24" s="1127">
        <v>12000</v>
      </c>
      <c r="J24" s="1129">
        <f t="shared" ref="J24" si="14">(G24+H24)*I24*F24</f>
        <v>1440000</v>
      </c>
      <c r="K24" s="1149">
        <f>2.5*4335</f>
        <v>10837.5</v>
      </c>
      <c r="L24" s="1127">
        <f t="shared" ref="L24" si="15">K24*F24*G24</f>
        <v>1300500</v>
      </c>
      <c r="M24" s="1124">
        <f>2*4335</f>
        <v>8670</v>
      </c>
      <c r="N24" s="1124">
        <f t="shared" ref="N24" si="16">M24*H24*F24</f>
        <v>0</v>
      </c>
      <c r="O24" s="1124">
        <v>10000</v>
      </c>
      <c r="P24" s="1124">
        <f>O24*(H24+G24)*2</f>
        <v>160000</v>
      </c>
      <c r="Q24" s="1124">
        <f t="shared" si="10"/>
        <v>2900500</v>
      </c>
      <c r="R24" s="1132"/>
      <c r="S24" s="1127"/>
      <c r="T24" s="1132"/>
      <c r="U24" s="1131"/>
      <c r="V24" s="1132"/>
      <c r="W24" s="1131">
        <f t="shared" si="11"/>
        <v>0</v>
      </c>
      <c r="X24" s="1132"/>
      <c r="Y24" s="1131"/>
      <c r="Z24" s="1132"/>
      <c r="AA24" s="1135">
        <f t="shared" si="12"/>
        <v>0</v>
      </c>
      <c r="AB24" s="1149">
        <f t="shared" si="13"/>
        <v>2900500</v>
      </c>
    </row>
    <row r="25" spans="1:29" ht="56.25">
      <c r="A25" s="1124">
        <v>11</v>
      </c>
      <c r="B25" s="1129">
        <v>3</v>
      </c>
      <c r="C25" s="1136" t="s">
        <v>1311</v>
      </c>
      <c r="D25" s="1153" t="s">
        <v>1312</v>
      </c>
      <c r="E25" s="1127" t="s">
        <v>1313</v>
      </c>
      <c r="F25" s="1127">
        <v>6</v>
      </c>
      <c r="G25" s="1149">
        <v>8</v>
      </c>
      <c r="H25" s="1149"/>
      <c r="I25" s="1127"/>
      <c r="J25" s="1137"/>
      <c r="K25" s="1127"/>
      <c r="L25" s="1131"/>
      <c r="M25" s="1138"/>
      <c r="N25" s="1138"/>
      <c r="O25" s="1124"/>
      <c r="P25" s="1124"/>
      <c r="Q25" s="1138">
        <f t="shared" si="10"/>
        <v>0</v>
      </c>
      <c r="R25" s="1130">
        <f>80*$AB$4</f>
        <v>36037.600000000006</v>
      </c>
      <c r="S25" s="1127">
        <f>R25*F25*(G25+H25)</f>
        <v>1729804.8000000003</v>
      </c>
      <c r="T25" s="1130">
        <v>26000</v>
      </c>
      <c r="U25" s="1127">
        <f>T25*F25*(G25+H25)</f>
        <v>1248000</v>
      </c>
      <c r="V25" s="1132">
        <v>1889</v>
      </c>
      <c r="W25" s="1127">
        <f t="shared" si="11"/>
        <v>90672</v>
      </c>
      <c r="X25" s="1132">
        <v>805167</v>
      </c>
      <c r="Y25" s="1127">
        <f>X25*(G25+H25)</f>
        <v>6441336</v>
      </c>
      <c r="Z25" s="1130">
        <f>80*$AB$5*(G25+H25)</f>
        <v>312838.40000000002</v>
      </c>
      <c r="AA25" s="1149">
        <f t="shared" si="12"/>
        <v>9822651.2000000011</v>
      </c>
      <c r="AB25" s="1149">
        <f t="shared" si="13"/>
        <v>9822651.2000000011</v>
      </c>
    </row>
    <row r="26" spans="1:29" ht="56.25">
      <c r="A26" s="1124">
        <v>12</v>
      </c>
      <c r="B26" s="1129">
        <v>4</v>
      </c>
      <c r="C26" s="1154" t="s">
        <v>1314</v>
      </c>
      <c r="D26" s="1153" t="s">
        <v>386</v>
      </c>
      <c r="E26" s="1127" t="s">
        <v>1315</v>
      </c>
      <c r="F26" s="1127">
        <v>15</v>
      </c>
      <c r="G26" s="1149">
        <v>8</v>
      </c>
      <c r="H26" s="1149"/>
      <c r="I26" s="1127">
        <v>12000</v>
      </c>
      <c r="J26" s="1129">
        <f t="shared" ref="J26:J27" si="17">(G26+H26)*I26*F26</f>
        <v>1440000</v>
      </c>
      <c r="K26" s="1149">
        <f>2.5*4335</f>
        <v>10837.5</v>
      </c>
      <c r="L26" s="1127">
        <f t="shared" ref="L26:L27" si="18">K26*F26*G26</f>
        <v>1300500</v>
      </c>
      <c r="M26" s="1124">
        <f>2*4335</f>
        <v>8670</v>
      </c>
      <c r="N26" s="1124">
        <f t="shared" ref="N26:N27" si="19">M26*H26*F26</f>
        <v>0</v>
      </c>
      <c r="O26" s="1124">
        <v>10000</v>
      </c>
      <c r="P26" s="1124">
        <f>O26*(H26+G26)*2</f>
        <v>160000</v>
      </c>
      <c r="Q26" s="1124">
        <f t="shared" si="10"/>
        <v>2900500</v>
      </c>
      <c r="R26" s="1132"/>
      <c r="S26" s="1127"/>
      <c r="T26" s="1132"/>
      <c r="U26" s="1131"/>
      <c r="V26" s="1132"/>
      <c r="W26" s="1131">
        <f t="shared" si="11"/>
        <v>0</v>
      </c>
      <c r="X26" s="1132"/>
      <c r="Y26" s="1131"/>
      <c r="Z26" s="1130"/>
      <c r="AA26" s="1135">
        <f t="shared" si="12"/>
        <v>0</v>
      </c>
      <c r="AB26" s="1149">
        <f t="shared" si="13"/>
        <v>2900500</v>
      </c>
    </row>
    <row r="27" spans="1:29" ht="56.25">
      <c r="A27" s="1124">
        <v>13</v>
      </c>
      <c r="B27" s="1129">
        <v>5</v>
      </c>
      <c r="C27" s="1126" t="s">
        <v>330</v>
      </c>
      <c r="D27" s="1153" t="s">
        <v>1316</v>
      </c>
      <c r="E27" s="1127" t="s">
        <v>1442</v>
      </c>
      <c r="F27" s="1127">
        <v>14</v>
      </c>
      <c r="G27" s="1149">
        <v>8</v>
      </c>
      <c r="H27" s="1149"/>
      <c r="I27" s="1127">
        <v>12000</v>
      </c>
      <c r="J27" s="1137">
        <f t="shared" si="17"/>
        <v>1344000</v>
      </c>
      <c r="K27" s="1149">
        <f>2.5*4335</f>
        <v>10837.5</v>
      </c>
      <c r="L27" s="1131">
        <f t="shared" si="18"/>
        <v>1213800</v>
      </c>
      <c r="M27" s="1138">
        <f>2*4335</f>
        <v>8670</v>
      </c>
      <c r="N27" s="1138">
        <f t="shared" si="19"/>
        <v>0</v>
      </c>
      <c r="O27" s="1124">
        <v>10000</v>
      </c>
      <c r="P27" s="1124">
        <f>O27*(H27+G27)*2</f>
        <v>160000</v>
      </c>
      <c r="Q27" s="1138">
        <f t="shared" si="10"/>
        <v>2717800</v>
      </c>
      <c r="R27" s="1132"/>
      <c r="S27" s="1127"/>
      <c r="T27" s="1132"/>
      <c r="U27" s="1127"/>
      <c r="V27" s="1132"/>
      <c r="W27" s="1127">
        <f t="shared" si="11"/>
        <v>0</v>
      </c>
      <c r="X27" s="1132"/>
      <c r="Y27" s="1127"/>
      <c r="Z27" s="1132"/>
      <c r="AA27" s="1149">
        <f t="shared" si="12"/>
        <v>0</v>
      </c>
      <c r="AB27" s="1149">
        <f t="shared" si="13"/>
        <v>2717800</v>
      </c>
    </row>
    <row r="28" spans="1:29" ht="56.25">
      <c r="A28" s="1124">
        <v>14</v>
      </c>
      <c r="B28" s="1129">
        <v>6</v>
      </c>
      <c r="C28" s="1136" t="s">
        <v>1317</v>
      </c>
      <c r="D28" s="1153" t="s">
        <v>1318</v>
      </c>
      <c r="E28" s="1127" t="s">
        <v>1319</v>
      </c>
      <c r="F28" s="1127">
        <v>7</v>
      </c>
      <c r="G28" s="1149">
        <v>8</v>
      </c>
      <c r="H28" s="1149"/>
      <c r="I28" s="1127"/>
      <c r="J28" s="1129"/>
      <c r="K28" s="1127"/>
      <c r="L28" s="1127"/>
      <c r="M28" s="1124"/>
      <c r="N28" s="1124"/>
      <c r="O28" s="1124"/>
      <c r="P28" s="1124"/>
      <c r="Q28" s="1124">
        <f t="shared" si="10"/>
        <v>0</v>
      </c>
      <c r="R28" s="1130">
        <f>80*$AB$4</f>
        <v>36037.600000000006</v>
      </c>
      <c r="S28" s="1127">
        <f>R28*F28*(G28+H28)</f>
        <v>2018105.6000000003</v>
      </c>
      <c r="T28" s="1130">
        <v>26000</v>
      </c>
      <c r="U28" s="1131">
        <f>T28*F28*(G28+H28)</f>
        <v>1456000</v>
      </c>
      <c r="V28" s="1132">
        <v>1889</v>
      </c>
      <c r="W28" s="1131">
        <f t="shared" si="11"/>
        <v>105784</v>
      </c>
      <c r="X28" s="1130">
        <v>685846</v>
      </c>
      <c r="Y28" s="1131">
        <f>X28*(G28+H28)</f>
        <v>5486768</v>
      </c>
      <c r="Z28" s="1130">
        <f>80*$AB$5*(G28+H28)</f>
        <v>312838.40000000002</v>
      </c>
      <c r="AA28" s="1135">
        <f t="shared" si="12"/>
        <v>9379496.0000000019</v>
      </c>
      <c r="AB28" s="1149">
        <f t="shared" si="13"/>
        <v>9379496.0000000019</v>
      </c>
    </row>
    <row r="29" spans="1:29">
      <c r="A29" s="1796" t="s">
        <v>38</v>
      </c>
      <c r="B29" s="1797"/>
      <c r="C29" s="1797"/>
      <c r="D29" s="1797"/>
      <c r="E29" s="1797"/>
      <c r="F29" s="1797"/>
      <c r="G29" s="1797"/>
      <c r="H29" s="1798"/>
      <c r="I29" s="1145"/>
      <c r="J29" s="1145">
        <f>SUM(J23:J28)</f>
        <v>4224000</v>
      </c>
      <c r="K29" s="1145"/>
      <c r="L29" s="1145">
        <f>SUM(L23:L28)</f>
        <v>3814800</v>
      </c>
      <c r="M29" s="1145"/>
      <c r="N29" s="1145">
        <f>SUM(N23:N28)</f>
        <v>0</v>
      </c>
      <c r="O29" s="1213"/>
      <c r="P29" s="1145">
        <f>SUM(P23:P28)</f>
        <v>480000</v>
      </c>
      <c r="Q29" s="1145">
        <f>SUM(Q23:Q28)</f>
        <v>8518800</v>
      </c>
      <c r="R29" s="1213"/>
      <c r="S29" s="1145">
        <f>SUM(S23:S28)</f>
        <v>5477715.2000000011</v>
      </c>
      <c r="T29" s="1213"/>
      <c r="U29" s="1145">
        <f>SUM(U23:U28)</f>
        <v>3952000</v>
      </c>
      <c r="V29" s="1213"/>
      <c r="W29" s="1145">
        <f>SUM(W23:W28)</f>
        <v>245848</v>
      </c>
      <c r="X29" s="1213"/>
      <c r="Y29" s="1145">
        <f>SUM(Y23:Y28)</f>
        <v>15002952</v>
      </c>
      <c r="Z29" s="1145">
        <f>SUM(Z23:Z28)</f>
        <v>625676.80000000005</v>
      </c>
      <c r="AA29" s="1145">
        <f>SUM(AA23:AA28)</f>
        <v>25304192.000000004</v>
      </c>
      <c r="AB29" s="1145">
        <f>SUM(AB23:AB28)</f>
        <v>33822992</v>
      </c>
      <c r="AC29" s="1120">
        <f>AB29-AA29-Q29</f>
        <v>0</v>
      </c>
    </row>
    <row r="30" spans="1:29">
      <c r="A30" s="1808" t="s">
        <v>1320</v>
      </c>
      <c r="B30" s="1808"/>
      <c r="C30" s="1808"/>
      <c r="D30" s="1808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1801"/>
      <c r="AB30" s="1801"/>
    </row>
    <row r="31" spans="1:29" ht="56.25">
      <c r="A31" s="1124">
        <v>15</v>
      </c>
      <c r="B31" s="1124">
        <v>1</v>
      </c>
      <c r="C31" s="1126" t="s">
        <v>330</v>
      </c>
      <c r="D31" s="1153" t="s">
        <v>1310</v>
      </c>
      <c r="E31" s="1127" t="s">
        <v>1442</v>
      </c>
      <c r="F31" s="1127">
        <v>15</v>
      </c>
      <c r="G31" s="1129">
        <v>8</v>
      </c>
      <c r="H31" s="1129"/>
      <c r="I31" s="1127">
        <v>12000</v>
      </c>
      <c r="J31" s="1129">
        <f t="shared" ref="J31" si="20">(G31+H31)*I31*F31</f>
        <v>1440000</v>
      </c>
      <c r="K31" s="1149">
        <f>2.5*4335</f>
        <v>10837.5</v>
      </c>
      <c r="L31" s="1127">
        <f t="shared" ref="L31" si="21">K31*F31*G31</f>
        <v>1300500</v>
      </c>
      <c r="M31" s="1124">
        <f>2*4335</f>
        <v>8670</v>
      </c>
      <c r="N31" s="1124">
        <f t="shared" ref="N31" si="22">M31*H31*F31</f>
        <v>0</v>
      </c>
      <c r="O31" s="1124">
        <v>10000</v>
      </c>
      <c r="P31" s="1124">
        <f>O31*(H31+G31)*2</f>
        <v>160000</v>
      </c>
      <c r="Q31" s="1124">
        <f t="shared" ref="Q31:Q36" si="23">SUM(J31+L31+N31+P31)</f>
        <v>2900500</v>
      </c>
      <c r="R31" s="1132"/>
      <c r="S31" s="1127"/>
      <c r="T31" s="1132"/>
      <c r="U31" s="1127"/>
      <c r="V31" s="1132"/>
      <c r="W31" s="1127">
        <f t="shared" ref="W31:W36" si="24">V31*(G31+H31)*F31</f>
        <v>0</v>
      </c>
      <c r="X31" s="1132"/>
      <c r="Y31" s="1127"/>
      <c r="Z31" s="1132"/>
      <c r="AA31" s="1149">
        <f t="shared" ref="AA31:AA36" si="25">S31+U31+W31+Y31+Z31</f>
        <v>0</v>
      </c>
      <c r="AB31" s="1149">
        <f t="shared" ref="AB31:AB36" si="26">Q31+AA31</f>
        <v>2900500</v>
      </c>
    </row>
    <row r="32" spans="1:29" ht="37.5">
      <c r="A32" s="1124">
        <v>16</v>
      </c>
      <c r="B32" s="1124">
        <v>2</v>
      </c>
      <c r="C32" s="1136" t="s">
        <v>1309</v>
      </c>
      <c r="D32" s="1153" t="s">
        <v>408</v>
      </c>
      <c r="E32" s="1127" t="s">
        <v>1076</v>
      </c>
      <c r="F32" s="1127">
        <v>6</v>
      </c>
      <c r="G32" s="1149">
        <v>8</v>
      </c>
      <c r="H32" s="1149"/>
      <c r="I32" s="1127"/>
      <c r="J32" s="1129"/>
      <c r="K32" s="1127"/>
      <c r="L32" s="1127"/>
      <c r="M32" s="1124"/>
      <c r="N32" s="1124"/>
      <c r="O32" s="1124"/>
      <c r="P32" s="1124"/>
      <c r="Q32" s="1124">
        <f t="shared" si="23"/>
        <v>0</v>
      </c>
      <c r="R32" s="1132">
        <f>80*$AB$4</f>
        <v>36037.600000000006</v>
      </c>
      <c r="S32" s="1127">
        <f>R32*F32*(G32+H32)</f>
        <v>1729804.8000000003</v>
      </c>
      <c r="T32" s="1130">
        <v>26000</v>
      </c>
      <c r="U32" s="1127">
        <f>T32*F32*(G32+H32)</f>
        <v>1248000</v>
      </c>
      <c r="V32" s="1132">
        <v>1029</v>
      </c>
      <c r="W32" s="1127">
        <f t="shared" si="24"/>
        <v>49392</v>
      </c>
      <c r="X32" s="1132">
        <v>384356</v>
      </c>
      <c r="Y32" s="1131">
        <f>X32*(G32+H32)</f>
        <v>3074848</v>
      </c>
      <c r="Z32" s="1130"/>
      <c r="AA32" s="1135">
        <f t="shared" si="25"/>
        <v>6102044.8000000007</v>
      </c>
      <c r="AB32" s="1149">
        <f t="shared" si="26"/>
        <v>6102044.8000000007</v>
      </c>
    </row>
    <row r="33" spans="1:29" ht="56.25">
      <c r="A33" s="1124">
        <v>17</v>
      </c>
      <c r="B33" s="1124">
        <v>3</v>
      </c>
      <c r="C33" s="1136" t="s">
        <v>1311</v>
      </c>
      <c r="D33" s="1153" t="s">
        <v>1312</v>
      </c>
      <c r="E33" s="1127" t="s">
        <v>1313</v>
      </c>
      <c r="F33" s="1127">
        <v>6</v>
      </c>
      <c r="G33" s="1149">
        <v>8</v>
      </c>
      <c r="H33" s="1149"/>
      <c r="I33" s="1127"/>
      <c r="J33" s="1137"/>
      <c r="K33" s="1127"/>
      <c r="L33" s="1131"/>
      <c r="M33" s="1138"/>
      <c r="N33" s="1138"/>
      <c r="O33" s="1124"/>
      <c r="P33" s="1124"/>
      <c r="Q33" s="1138">
        <f t="shared" si="23"/>
        <v>0</v>
      </c>
      <c r="R33" s="1130">
        <f>80*$AB$4</f>
        <v>36037.600000000006</v>
      </c>
      <c r="S33" s="1127">
        <f>R33*F33*(G33+H33)</f>
        <v>1729804.8000000003</v>
      </c>
      <c r="T33" s="1130">
        <v>26000</v>
      </c>
      <c r="U33" s="1127">
        <f>T33*F33*(G33+H33)</f>
        <v>1248000</v>
      </c>
      <c r="V33" s="1132">
        <v>1889</v>
      </c>
      <c r="W33" s="1127">
        <f t="shared" si="24"/>
        <v>90672</v>
      </c>
      <c r="X33" s="1132">
        <v>805167</v>
      </c>
      <c r="Y33" s="1127">
        <f>X33*(G33+H33)</f>
        <v>6441336</v>
      </c>
      <c r="Z33" s="1130">
        <f>80*$AB$5*(G33+H33)</f>
        <v>312838.40000000002</v>
      </c>
      <c r="AA33" s="1149">
        <f t="shared" si="25"/>
        <v>9822651.2000000011</v>
      </c>
      <c r="AB33" s="1149">
        <f t="shared" si="26"/>
        <v>9822651.2000000011</v>
      </c>
    </row>
    <row r="34" spans="1:29" ht="56.25">
      <c r="A34" s="1124">
        <v>18</v>
      </c>
      <c r="B34" s="1124">
        <v>4</v>
      </c>
      <c r="C34" s="1126" t="s">
        <v>1314</v>
      </c>
      <c r="D34" s="1153" t="s">
        <v>1321</v>
      </c>
      <c r="E34" s="1127" t="s">
        <v>1315</v>
      </c>
      <c r="F34" s="1127">
        <v>15</v>
      </c>
      <c r="G34" s="1129">
        <v>8</v>
      </c>
      <c r="H34" s="1129"/>
      <c r="I34" s="1127">
        <v>12000</v>
      </c>
      <c r="J34" s="1129">
        <f t="shared" ref="J34:J35" si="27">(G34+H34)*I34*F34</f>
        <v>1440000</v>
      </c>
      <c r="K34" s="1149">
        <f>2.5*4335</f>
        <v>10837.5</v>
      </c>
      <c r="L34" s="1127">
        <f t="shared" ref="L34:L35" si="28">K34*F34*G34</f>
        <v>1300500</v>
      </c>
      <c r="M34" s="1124">
        <f>2*4335</f>
        <v>8670</v>
      </c>
      <c r="N34" s="1124">
        <f t="shared" ref="N34:N35" si="29">M34*H34*F34</f>
        <v>0</v>
      </c>
      <c r="O34" s="1124">
        <v>10000</v>
      </c>
      <c r="P34" s="1124">
        <f>O34*(H34+G34)*2</f>
        <v>160000</v>
      </c>
      <c r="Q34" s="1124">
        <f t="shared" si="23"/>
        <v>2900500</v>
      </c>
      <c r="R34" s="1132"/>
      <c r="S34" s="1127">
        <f>R34*F34*(G34+H34)</f>
        <v>0</v>
      </c>
      <c r="T34" s="1132"/>
      <c r="U34" s="1131">
        <f>T34*F34*(G34+H34)</f>
        <v>0</v>
      </c>
      <c r="V34" s="1132"/>
      <c r="W34" s="1131">
        <f t="shared" si="24"/>
        <v>0</v>
      </c>
      <c r="X34" s="1132"/>
      <c r="Y34" s="1131">
        <f>X34*(G34+H34)</f>
        <v>0</v>
      </c>
      <c r="Z34" s="1130"/>
      <c r="AA34" s="1135">
        <f t="shared" si="25"/>
        <v>0</v>
      </c>
      <c r="AB34" s="1149">
        <f t="shared" si="26"/>
        <v>2900500</v>
      </c>
    </row>
    <row r="35" spans="1:29" ht="56.25">
      <c r="A35" s="1124">
        <v>19</v>
      </c>
      <c r="B35" s="1124">
        <v>5</v>
      </c>
      <c r="C35" s="1126" t="s">
        <v>330</v>
      </c>
      <c r="D35" s="1153" t="s">
        <v>1322</v>
      </c>
      <c r="E35" s="1127" t="s">
        <v>1442</v>
      </c>
      <c r="F35" s="1127">
        <v>14</v>
      </c>
      <c r="G35" s="1129">
        <v>8</v>
      </c>
      <c r="H35" s="1129"/>
      <c r="I35" s="1127">
        <v>12000</v>
      </c>
      <c r="J35" s="1129">
        <f t="shared" si="27"/>
        <v>1344000</v>
      </c>
      <c r="K35" s="1149">
        <f>2.5*4335</f>
        <v>10837.5</v>
      </c>
      <c r="L35" s="1127">
        <f t="shared" si="28"/>
        <v>1213800</v>
      </c>
      <c r="M35" s="1124">
        <f>2*4335</f>
        <v>8670</v>
      </c>
      <c r="N35" s="1124">
        <f t="shared" si="29"/>
        <v>0</v>
      </c>
      <c r="O35" s="1124">
        <v>10000</v>
      </c>
      <c r="P35" s="1124">
        <f>O35*(H35+G35)*2</f>
        <v>160000</v>
      </c>
      <c r="Q35" s="1124">
        <f t="shared" si="23"/>
        <v>2717800</v>
      </c>
      <c r="R35" s="1132"/>
      <c r="S35" s="1127"/>
      <c r="T35" s="1132"/>
      <c r="U35" s="1127"/>
      <c r="V35" s="1132"/>
      <c r="W35" s="1127">
        <f t="shared" si="24"/>
        <v>0</v>
      </c>
      <c r="X35" s="1132"/>
      <c r="Y35" s="1127"/>
      <c r="Z35" s="1132"/>
      <c r="AA35" s="1149">
        <f t="shared" si="25"/>
        <v>0</v>
      </c>
      <c r="AB35" s="1149">
        <f t="shared" si="26"/>
        <v>2717800</v>
      </c>
    </row>
    <row r="36" spans="1:29" ht="56.25">
      <c r="A36" s="1124">
        <v>20</v>
      </c>
      <c r="B36" s="1124">
        <v>6</v>
      </c>
      <c r="C36" s="1136" t="s">
        <v>1317</v>
      </c>
      <c r="D36" s="1153" t="s">
        <v>1323</v>
      </c>
      <c r="E36" s="1127" t="s">
        <v>1324</v>
      </c>
      <c r="F36" s="1127">
        <v>7</v>
      </c>
      <c r="G36" s="1129">
        <v>8</v>
      </c>
      <c r="H36" s="1129"/>
      <c r="I36" s="1127"/>
      <c r="J36" s="1129"/>
      <c r="K36" s="1127"/>
      <c r="L36" s="1127"/>
      <c r="M36" s="1124"/>
      <c r="N36" s="1124"/>
      <c r="O36" s="1124"/>
      <c r="P36" s="1124"/>
      <c r="Q36" s="1124">
        <f t="shared" si="23"/>
        <v>0</v>
      </c>
      <c r="R36" s="1130">
        <f>80*$AB$4</f>
        <v>36037.600000000006</v>
      </c>
      <c r="S36" s="1127">
        <f>R36*F36*(G36+H36)</f>
        <v>2018105.6000000003</v>
      </c>
      <c r="T36" s="1130">
        <v>26000</v>
      </c>
      <c r="U36" s="1131">
        <f>T36*F36*(G36+H36)</f>
        <v>1456000</v>
      </c>
      <c r="V36" s="1132">
        <v>1889</v>
      </c>
      <c r="W36" s="1131">
        <f t="shared" si="24"/>
        <v>105784</v>
      </c>
      <c r="X36" s="1130">
        <v>685846</v>
      </c>
      <c r="Y36" s="1131">
        <f>X36*(G36+H36)</f>
        <v>5486768</v>
      </c>
      <c r="Z36" s="1130">
        <f>80*$AB$5*(G36+H36)</f>
        <v>312838.40000000002</v>
      </c>
      <c r="AA36" s="1135">
        <f t="shared" si="25"/>
        <v>9379496.0000000019</v>
      </c>
      <c r="AB36" s="1149">
        <f t="shared" si="26"/>
        <v>9379496.0000000019</v>
      </c>
    </row>
    <row r="37" spans="1:29">
      <c r="A37" s="1803" t="s">
        <v>38</v>
      </c>
      <c r="B37" s="1803"/>
      <c r="C37" s="1803"/>
      <c r="D37" s="1803"/>
      <c r="E37" s="1803"/>
      <c r="F37" s="1152"/>
      <c r="G37" s="1155"/>
      <c r="H37" s="1152"/>
      <c r="I37" s="1152"/>
      <c r="J37" s="1152">
        <f>SUM(J31:J36)</f>
        <v>4224000</v>
      </c>
      <c r="K37" s="1152"/>
      <c r="L37" s="1152">
        <f>SUM(L31:L36)</f>
        <v>3814800</v>
      </c>
      <c r="M37" s="1152"/>
      <c r="N37" s="1152">
        <f>SUM(N31:N36)</f>
        <v>0</v>
      </c>
      <c r="O37" s="1152"/>
      <c r="P37" s="1152">
        <f>SUM(P31:P36)</f>
        <v>480000</v>
      </c>
      <c r="Q37" s="1152">
        <f>SUM(Q31:Q36)</f>
        <v>8518800</v>
      </c>
      <c r="R37" s="1152"/>
      <c r="S37" s="1152">
        <f>SUM(S31:S36)</f>
        <v>5477715.2000000011</v>
      </c>
      <c r="T37" s="1152"/>
      <c r="U37" s="1152">
        <f>SUM(U31:U36)</f>
        <v>3952000</v>
      </c>
      <c r="V37" s="1152"/>
      <c r="W37" s="1152">
        <f>SUM(W31:W36)</f>
        <v>245848</v>
      </c>
      <c r="X37" s="1152"/>
      <c r="Y37" s="1152">
        <f>SUM(Y31:Y36)</f>
        <v>15002952</v>
      </c>
      <c r="Z37" s="1152">
        <f>SUM(Z31:Z36)</f>
        <v>625676.80000000005</v>
      </c>
      <c r="AA37" s="1152">
        <f>SUM(AA31:AA36)</f>
        <v>25304192.000000004</v>
      </c>
      <c r="AB37" s="1152">
        <f>SUM(AB31:AB36)</f>
        <v>33822992</v>
      </c>
      <c r="AC37" s="1120">
        <f>AB37-AA37-Q37</f>
        <v>0</v>
      </c>
    </row>
    <row r="38" spans="1:29">
      <c r="A38" s="1809" t="s">
        <v>1325</v>
      </c>
      <c r="B38" s="1809"/>
      <c r="C38" s="1809"/>
      <c r="D38" s="1809"/>
      <c r="E38" s="1809"/>
      <c r="F38" s="1809"/>
      <c r="G38" s="1809"/>
      <c r="H38" s="1809"/>
      <c r="I38" s="1809"/>
      <c r="J38" s="1810"/>
      <c r="K38" s="1810"/>
      <c r="L38" s="1810"/>
      <c r="M38" s="1810"/>
      <c r="N38" s="1810"/>
      <c r="O38" s="1810"/>
      <c r="P38" s="1810"/>
      <c r="Q38" s="1810"/>
      <c r="R38" s="1810"/>
      <c r="S38" s="1810"/>
      <c r="T38" s="1810"/>
      <c r="U38" s="1810"/>
      <c r="V38" s="1810"/>
      <c r="W38" s="1810"/>
      <c r="X38" s="1810"/>
      <c r="Y38" s="1810"/>
      <c r="Z38" s="1810"/>
      <c r="AA38" s="1810"/>
      <c r="AB38" s="1810"/>
    </row>
    <row r="39" spans="1:29" ht="37.5">
      <c r="A39" s="1138">
        <v>21</v>
      </c>
      <c r="B39" s="1138">
        <v>1</v>
      </c>
      <c r="C39" s="1156" t="s">
        <v>1300</v>
      </c>
      <c r="D39" s="1132" t="s">
        <v>1132</v>
      </c>
      <c r="E39" s="1127" t="s">
        <v>339</v>
      </c>
      <c r="F39" s="1127">
        <v>6</v>
      </c>
      <c r="G39" s="1129">
        <v>10</v>
      </c>
      <c r="H39" s="1157"/>
      <c r="I39" s="1131"/>
      <c r="J39" s="1137"/>
      <c r="K39" s="1131"/>
      <c r="L39" s="1131"/>
      <c r="M39" s="1138"/>
      <c r="N39" s="1138"/>
      <c r="O39" s="1138"/>
      <c r="P39" s="1138"/>
      <c r="Q39" s="1138">
        <f t="shared" ref="Q39:Q43" si="30">SUM(J39+L39+N39+P39)</f>
        <v>0</v>
      </c>
      <c r="R39" s="1130">
        <f>80*$AB$4</f>
        <v>36037.600000000006</v>
      </c>
      <c r="S39" s="1131">
        <f>R39*F39*(G39+H39)</f>
        <v>2162256.0000000005</v>
      </c>
      <c r="T39" s="1130">
        <v>26000</v>
      </c>
      <c r="U39" s="1131">
        <f>T39*F39*(G39+H39)</f>
        <v>1560000</v>
      </c>
      <c r="V39" s="1130">
        <v>657</v>
      </c>
      <c r="W39" s="1131">
        <f t="shared" ref="W39:W43" si="31">V39*(G39+H39)*F39</f>
        <v>39420</v>
      </c>
      <c r="X39" s="1132">
        <v>366914</v>
      </c>
      <c r="Y39" s="1131">
        <f>X39*(G39+H39)</f>
        <v>3669140</v>
      </c>
      <c r="Z39" s="1130"/>
      <c r="AA39" s="1135">
        <f t="shared" ref="AA39:AA43" si="32">S39+U39+W39+Y39+Z39</f>
        <v>7430816</v>
      </c>
      <c r="AB39" s="1135">
        <f>AA39+Q39</f>
        <v>7430816</v>
      </c>
    </row>
    <row r="40" spans="1:29" ht="37.5">
      <c r="A40" s="1138">
        <v>22</v>
      </c>
      <c r="B40" s="1138">
        <v>2</v>
      </c>
      <c r="C40" s="1156" t="s">
        <v>1300</v>
      </c>
      <c r="D40" s="1132" t="s">
        <v>1146</v>
      </c>
      <c r="E40" s="1127" t="s">
        <v>389</v>
      </c>
      <c r="F40" s="1127">
        <v>6</v>
      </c>
      <c r="G40" s="1129">
        <v>10</v>
      </c>
      <c r="H40" s="1157"/>
      <c r="I40" s="1131"/>
      <c r="J40" s="1137"/>
      <c r="K40" s="1131"/>
      <c r="L40" s="1131"/>
      <c r="M40" s="1138"/>
      <c r="N40" s="1138"/>
      <c r="O40" s="1138"/>
      <c r="P40" s="1138"/>
      <c r="Q40" s="1138">
        <f t="shared" si="30"/>
        <v>0</v>
      </c>
      <c r="R40" s="1130">
        <f>80*$AB$4</f>
        <v>36037.600000000006</v>
      </c>
      <c r="S40" s="1131">
        <f>R40*F40*(G40+H40)</f>
        <v>2162256.0000000005</v>
      </c>
      <c r="T40" s="1130">
        <v>26000</v>
      </c>
      <c r="U40" s="1131">
        <f>T40*F40*(G40+H40)</f>
        <v>1560000</v>
      </c>
      <c r="V40" s="1130">
        <v>1889</v>
      </c>
      <c r="W40" s="1131">
        <f t="shared" si="31"/>
        <v>113340</v>
      </c>
      <c r="X40" s="1130">
        <v>685846</v>
      </c>
      <c r="Y40" s="1131">
        <f>X40*(G40+H40)</f>
        <v>6858460</v>
      </c>
      <c r="Z40" s="1130">
        <f>80*$AB$5*(G40+H40)</f>
        <v>391048</v>
      </c>
      <c r="AA40" s="1135">
        <f t="shared" si="32"/>
        <v>11085104</v>
      </c>
      <c r="AB40" s="1135">
        <f t="shared" ref="AB40:AB43" si="33">AA40+Q40</f>
        <v>11085104</v>
      </c>
    </row>
    <row r="41" spans="1:29" ht="37.5">
      <c r="A41" s="1138">
        <v>23</v>
      </c>
      <c r="B41" s="1138">
        <v>3</v>
      </c>
      <c r="C41" s="1158" t="s">
        <v>1115</v>
      </c>
      <c r="D41" s="1132" t="s">
        <v>326</v>
      </c>
      <c r="E41" s="1127" t="s">
        <v>409</v>
      </c>
      <c r="F41" s="1159">
        <v>10</v>
      </c>
      <c r="G41" s="1129">
        <v>10</v>
      </c>
      <c r="H41" s="1157"/>
      <c r="I41" s="1131"/>
      <c r="J41" s="1137"/>
      <c r="K41" s="1131"/>
      <c r="L41" s="1131"/>
      <c r="M41" s="1138"/>
      <c r="N41" s="1138"/>
      <c r="O41" s="1138"/>
      <c r="P41" s="1124"/>
      <c r="Q41" s="1138">
        <f t="shared" si="30"/>
        <v>0</v>
      </c>
      <c r="R41" s="1130">
        <f>80*$AB$4</f>
        <v>36037.600000000006</v>
      </c>
      <c r="S41" s="1138">
        <f>R41*F41*(G41+H41)</f>
        <v>3603760.0000000005</v>
      </c>
      <c r="T41" s="1130">
        <v>26000</v>
      </c>
      <c r="U41" s="1138">
        <f>T41*F41*(G41+H41)</f>
        <v>2600000</v>
      </c>
      <c r="V41" s="1138">
        <v>657</v>
      </c>
      <c r="W41" s="1138">
        <f t="shared" si="31"/>
        <v>65700</v>
      </c>
      <c r="X41" s="1130">
        <v>305578</v>
      </c>
      <c r="Y41" s="1138">
        <f>X41*(G41+H41)</f>
        <v>3055780</v>
      </c>
      <c r="Z41" s="1138"/>
      <c r="AA41" s="1135">
        <f t="shared" si="32"/>
        <v>9325240</v>
      </c>
      <c r="AB41" s="1135">
        <f t="shared" si="33"/>
        <v>9325240</v>
      </c>
    </row>
    <row r="42" spans="1:29" ht="37.5">
      <c r="A42" s="1138">
        <v>24</v>
      </c>
      <c r="B42" s="1138">
        <v>4</v>
      </c>
      <c r="C42" s="1160" t="s">
        <v>1300</v>
      </c>
      <c r="D42" s="1132" t="s">
        <v>326</v>
      </c>
      <c r="E42" s="1127" t="s">
        <v>1326</v>
      </c>
      <c r="F42" s="1127">
        <v>6</v>
      </c>
      <c r="G42" s="1129">
        <v>10</v>
      </c>
      <c r="H42" s="1157"/>
      <c r="I42" s="1131"/>
      <c r="J42" s="1137"/>
      <c r="K42" s="1131"/>
      <c r="L42" s="1131"/>
      <c r="M42" s="1138"/>
      <c r="N42" s="1138"/>
      <c r="O42" s="1138"/>
      <c r="P42" s="1138"/>
      <c r="Q42" s="1138">
        <f t="shared" si="30"/>
        <v>0</v>
      </c>
      <c r="R42" s="1130">
        <f>80*$AB$4</f>
        <v>36037.600000000006</v>
      </c>
      <c r="S42" s="1131">
        <f>R42*F42*(G42+H42)</f>
        <v>2162256.0000000005</v>
      </c>
      <c r="T42" s="1130">
        <v>26000</v>
      </c>
      <c r="U42" s="1131">
        <f>T42*F42*(G42+H42)</f>
        <v>1560000</v>
      </c>
      <c r="V42" s="1130">
        <v>1889</v>
      </c>
      <c r="W42" s="1131">
        <f t="shared" si="31"/>
        <v>113340</v>
      </c>
      <c r="X42" s="1130">
        <v>475984</v>
      </c>
      <c r="Y42" s="1131">
        <f>X42*(G42+H42)</f>
        <v>4759840</v>
      </c>
      <c r="Z42" s="1130">
        <f>80*$AB$5*(G42+H42)</f>
        <v>391048</v>
      </c>
      <c r="AA42" s="1135">
        <f t="shared" si="32"/>
        <v>8986484</v>
      </c>
      <c r="AB42" s="1135">
        <f t="shared" si="33"/>
        <v>8986484</v>
      </c>
    </row>
    <row r="43" spans="1:29" ht="56.25">
      <c r="A43" s="1138">
        <v>25</v>
      </c>
      <c r="B43" s="1138">
        <v>5</v>
      </c>
      <c r="C43" s="1158" t="s">
        <v>1327</v>
      </c>
      <c r="D43" s="1132" t="s">
        <v>1328</v>
      </c>
      <c r="E43" s="1127" t="s">
        <v>1329</v>
      </c>
      <c r="F43" s="1159">
        <v>14</v>
      </c>
      <c r="G43" s="1129">
        <v>10</v>
      </c>
      <c r="H43" s="1157"/>
      <c r="I43" s="1127">
        <v>12000</v>
      </c>
      <c r="J43" s="1137">
        <f t="shared" ref="J43" si="34">(G43+H43)*I43*F43</f>
        <v>1680000</v>
      </c>
      <c r="K43" s="1149">
        <f>2.5*4335</f>
        <v>10837.5</v>
      </c>
      <c r="L43" s="1131">
        <f t="shared" ref="L43" si="35">K43*F43*G43</f>
        <v>1517250</v>
      </c>
      <c r="M43" s="1138">
        <f>2*4335</f>
        <v>8670</v>
      </c>
      <c r="N43" s="1138">
        <f t="shared" ref="N43" si="36">M43*H43*F43</f>
        <v>0</v>
      </c>
      <c r="O43" s="1138">
        <v>10000</v>
      </c>
      <c r="P43" s="1124">
        <f>O43*(H43+G43)*2</f>
        <v>200000</v>
      </c>
      <c r="Q43" s="1124">
        <f t="shared" si="30"/>
        <v>3397250</v>
      </c>
      <c r="R43" s="1138"/>
      <c r="S43" s="1138"/>
      <c r="T43" s="1138"/>
      <c r="U43" s="1138"/>
      <c r="V43" s="1138"/>
      <c r="W43" s="1138">
        <f t="shared" si="31"/>
        <v>0</v>
      </c>
      <c r="X43" s="1138"/>
      <c r="Y43" s="1138"/>
      <c r="Z43" s="1138"/>
      <c r="AA43" s="1135">
        <f t="shared" si="32"/>
        <v>0</v>
      </c>
      <c r="AB43" s="1135">
        <f t="shared" si="33"/>
        <v>3397250</v>
      </c>
    </row>
    <row r="44" spans="1:29">
      <c r="A44" s="1807" t="s">
        <v>38</v>
      </c>
      <c r="B44" s="1807"/>
      <c r="C44" s="1807"/>
      <c r="D44" s="1807"/>
      <c r="E44" s="1807"/>
      <c r="F44" s="1807"/>
      <c r="G44" s="1807"/>
      <c r="H44" s="1807"/>
      <c r="I44" s="1145"/>
      <c r="J44" s="1145">
        <f>SUM(J39:J43)</f>
        <v>1680000</v>
      </c>
      <c r="K44" s="1145"/>
      <c r="L44" s="1145">
        <f>SUM(L39:L43)</f>
        <v>1517250</v>
      </c>
      <c r="M44" s="1145"/>
      <c r="N44" s="1145">
        <f>SUM(N39:N43)</f>
        <v>0</v>
      </c>
      <c r="O44" s="1213"/>
      <c r="P44" s="1145">
        <f>SUM(P39:P43)</f>
        <v>200000</v>
      </c>
      <c r="Q44" s="1145">
        <f>SUM(Q39:Q43)</f>
        <v>3397250</v>
      </c>
      <c r="R44" s="1213"/>
      <c r="S44" s="1145">
        <f>SUM(S39:S43)</f>
        <v>10090528.000000002</v>
      </c>
      <c r="T44" s="1213"/>
      <c r="U44" s="1145">
        <f>SUM(U39:U43)</f>
        <v>7280000</v>
      </c>
      <c r="V44" s="1213"/>
      <c r="W44" s="1145">
        <f>SUM(W39:W43)</f>
        <v>331800</v>
      </c>
      <c r="X44" s="1213"/>
      <c r="Y44" s="1145">
        <f>SUM(Y39:Y43)</f>
        <v>18343220</v>
      </c>
      <c r="Z44" s="1145">
        <f>SUM(Z39:Z43)</f>
        <v>782096</v>
      </c>
      <c r="AA44" s="1145">
        <f>SUM(AA39:AA43)</f>
        <v>36827644</v>
      </c>
      <c r="AB44" s="1145">
        <f>SUM(AB39:AB43)</f>
        <v>40224894</v>
      </c>
      <c r="AC44" s="1120">
        <f>AB44-AA44-Q44</f>
        <v>0</v>
      </c>
    </row>
    <row r="45" spans="1:29">
      <c r="A45" s="1811" t="s">
        <v>1330</v>
      </c>
      <c r="B45" s="1812"/>
      <c r="C45" s="1812"/>
      <c r="D45" s="1812"/>
      <c r="E45" s="1812"/>
      <c r="F45" s="1812"/>
      <c r="G45" s="1812"/>
      <c r="H45" s="1812"/>
      <c r="I45" s="1812"/>
      <c r="J45" s="1812"/>
      <c r="K45" s="1812"/>
      <c r="L45" s="1812"/>
      <c r="M45" s="1812"/>
      <c r="N45" s="1812"/>
      <c r="O45" s="1812"/>
      <c r="P45" s="1812"/>
      <c r="Q45" s="1812"/>
      <c r="R45" s="1812"/>
      <c r="S45" s="1812"/>
      <c r="T45" s="1812"/>
      <c r="U45" s="1812"/>
      <c r="V45" s="1812"/>
      <c r="W45" s="1812"/>
      <c r="X45" s="1812"/>
      <c r="Y45" s="1812"/>
      <c r="Z45" s="1812"/>
      <c r="AA45" s="1812"/>
      <c r="AB45" s="1813"/>
    </row>
    <row r="46" spans="1:29" ht="56.25">
      <c r="A46" s="1138">
        <v>26</v>
      </c>
      <c r="B46" s="1138">
        <v>1</v>
      </c>
      <c r="C46" s="1156" t="s">
        <v>1331</v>
      </c>
      <c r="D46" s="1132" t="s">
        <v>1298</v>
      </c>
      <c r="E46" s="1127" t="s">
        <v>921</v>
      </c>
      <c r="F46" s="1127">
        <v>6</v>
      </c>
      <c r="G46" s="1129">
        <v>10</v>
      </c>
      <c r="H46" s="1159"/>
      <c r="I46" s="1131"/>
      <c r="J46" s="1137"/>
      <c r="K46" s="1131"/>
      <c r="L46" s="1131"/>
      <c r="M46" s="1138"/>
      <c r="N46" s="1138"/>
      <c r="O46" s="1138"/>
      <c r="P46" s="1138"/>
      <c r="Q46" s="1124">
        <f>SUM(J46+L46+N46+P46)</f>
        <v>0</v>
      </c>
      <c r="R46" s="1130">
        <f>80*$AB$4</f>
        <v>36037.600000000006</v>
      </c>
      <c r="S46" s="1131">
        <f>R46*F46*(G46+H46)</f>
        <v>2162256.0000000005</v>
      </c>
      <c r="T46" s="1130">
        <v>26000</v>
      </c>
      <c r="U46" s="1131">
        <f>T46*F46*(G46+H46)</f>
        <v>1560000</v>
      </c>
      <c r="V46" s="1130">
        <v>1889</v>
      </c>
      <c r="W46" s="1131">
        <f t="shared" ref="W46:W49" si="37">V46*(G46+H46)*F46</f>
        <v>113340</v>
      </c>
      <c r="X46" s="1130">
        <v>475984</v>
      </c>
      <c r="Y46" s="1131">
        <f>X46*(G46+H46)</f>
        <v>4759840</v>
      </c>
      <c r="Z46" s="1130">
        <f>80*$AB$5*(G46+H46)</f>
        <v>391048</v>
      </c>
      <c r="AA46" s="1135">
        <f t="shared" ref="AA46:AA49" si="38">S46+U46+W46+Y46+Z46</f>
        <v>8986484</v>
      </c>
      <c r="AB46" s="1135">
        <f>AA46+Q46</f>
        <v>8986484</v>
      </c>
    </row>
    <row r="47" spans="1:29" ht="56.25">
      <c r="A47" s="1138">
        <v>27</v>
      </c>
      <c r="B47" s="1138">
        <v>2</v>
      </c>
      <c r="C47" s="1156" t="s">
        <v>1331</v>
      </c>
      <c r="D47" s="1132" t="s">
        <v>1298</v>
      </c>
      <c r="E47" s="1127" t="s">
        <v>389</v>
      </c>
      <c r="F47" s="1127">
        <v>6</v>
      </c>
      <c r="G47" s="1129">
        <v>10</v>
      </c>
      <c r="H47" s="1159"/>
      <c r="I47" s="1131"/>
      <c r="J47" s="1137"/>
      <c r="K47" s="1131"/>
      <c r="L47" s="1131"/>
      <c r="M47" s="1138"/>
      <c r="N47" s="1138"/>
      <c r="O47" s="1138"/>
      <c r="P47" s="1138"/>
      <c r="Q47" s="1124">
        <f t="shared" ref="Q47:Q49" si="39">SUM(J47+L47+N47+P47)</f>
        <v>0</v>
      </c>
      <c r="R47" s="1130">
        <f>80*$AB$4</f>
        <v>36037.600000000006</v>
      </c>
      <c r="S47" s="1131">
        <f>R47*F47*(G47+H47)</f>
        <v>2162256.0000000005</v>
      </c>
      <c r="T47" s="1130">
        <v>26000</v>
      </c>
      <c r="U47" s="1131">
        <f>T47*F47*(G47+H47)</f>
        <v>1560000</v>
      </c>
      <c r="V47" s="1130">
        <v>1889</v>
      </c>
      <c r="W47" s="1131">
        <f t="shared" si="37"/>
        <v>113340</v>
      </c>
      <c r="X47" s="1130">
        <v>685846</v>
      </c>
      <c r="Y47" s="1131">
        <f>X47*(G47+H47)</f>
        <v>6858460</v>
      </c>
      <c r="Z47" s="1130">
        <f>80*$AB$5*(G47+H47)</f>
        <v>391048</v>
      </c>
      <c r="AA47" s="1135">
        <f t="shared" si="38"/>
        <v>11085104</v>
      </c>
      <c r="AB47" s="1135">
        <f>AA47+Q47</f>
        <v>11085104</v>
      </c>
    </row>
    <row r="48" spans="1:29" ht="56.25">
      <c r="A48" s="1138">
        <v>28</v>
      </c>
      <c r="B48" s="1138">
        <v>3</v>
      </c>
      <c r="C48" s="1158" t="s">
        <v>1332</v>
      </c>
      <c r="D48" s="1132" t="s">
        <v>326</v>
      </c>
      <c r="E48" s="1127" t="s">
        <v>1333</v>
      </c>
      <c r="F48" s="1127">
        <v>14</v>
      </c>
      <c r="G48" s="1129">
        <v>10</v>
      </c>
      <c r="H48" s="1159"/>
      <c r="I48" s="1127">
        <v>12000</v>
      </c>
      <c r="J48" s="1137">
        <f>(G48+H48)*I48*F48</f>
        <v>1680000</v>
      </c>
      <c r="K48" s="1149">
        <f>2.5*4335</f>
        <v>10837.5</v>
      </c>
      <c r="L48" s="1131">
        <f>K48*F48*G48</f>
        <v>1517250</v>
      </c>
      <c r="M48" s="1138">
        <f>2*4335</f>
        <v>8670</v>
      </c>
      <c r="N48" s="1138">
        <f>M48*H48*F48</f>
        <v>0</v>
      </c>
      <c r="O48" s="1138">
        <v>10000</v>
      </c>
      <c r="P48" s="1124">
        <f>O48*(H48+G48)*2</f>
        <v>200000</v>
      </c>
      <c r="Q48" s="1124">
        <f t="shared" si="39"/>
        <v>3397250</v>
      </c>
      <c r="R48" s="1130"/>
      <c r="S48" s="1131"/>
      <c r="T48" s="1130"/>
      <c r="U48" s="1131"/>
      <c r="V48" s="1130"/>
      <c r="W48" s="1131">
        <f t="shared" si="37"/>
        <v>0</v>
      </c>
      <c r="X48" s="1130"/>
      <c r="Y48" s="1131"/>
      <c r="Z48" s="1130"/>
      <c r="AA48" s="1135">
        <f t="shared" si="38"/>
        <v>0</v>
      </c>
      <c r="AB48" s="1135">
        <f>AA48+Q48</f>
        <v>3397250</v>
      </c>
    </row>
    <row r="49" spans="1:29" ht="56.25">
      <c r="A49" s="1138">
        <v>29</v>
      </c>
      <c r="B49" s="1138">
        <v>4</v>
      </c>
      <c r="C49" s="1158" t="s">
        <v>1334</v>
      </c>
      <c r="D49" s="1132" t="s">
        <v>1328</v>
      </c>
      <c r="E49" s="1127" t="s">
        <v>1335</v>
      </c>
      <c r="F49" s="1159">
        <v>14</v>
      </c>
      <c r="G49" s="1129">
        <v>10</v>
      </c>
      <c r="H49" s="1159"/>
      <c r="I49" s="1127">
        <v>12000</v>
      </c>
      <c r="J49" s="1137">
        <f>(G49+H49)*I49*F49</f>
        <v>1680000</v>
      </c>
      <c r="K49" s="1149">
        <f>2.5*4335</f>
        <v>10837.5</v>
      </c>
      <c r="L49" s="1131">
        <f>K49*F49*G49</f>
        <v>1517250</v>
      </c>
      <c r="M49" s="1138">
        <f>2*4335</f>
        <v>8670</v>
      </c>
      <c r="N49" s="1138">
        <f>M49*H49*F49</f>
        <v>0</v>
      </c>
      <c r="O49" s="1138">
        <v>10000</v>
      </c>
      <c r="P49" s="1124">
        <f>O49*(H49+G49)*2</f>
        <v>200000</v>
      </c>
      <c r="Q49" s="1124">
        <f t="shared" si="39"/>
        <v>3397250</v>
      </c>
      <c r="R49" s="1138"/>
      <c r="S49" s="1138"/>
      <c r="T49" s="1138"/>
      <c r="U49" s="1138"/>
      <c r="V49" s="1138"/>
      <c r="W49" s="1138">
        <f t="shared" si="37"/>
        <v>0</v>
      </c>
      <c r="X49" s="1138"/>
      <c r="Y49" s="1138"/>
      <c r="Z49" s="1138"/>
      <c r="AA49" s="1135">
        <f t="shared" si="38"/>
        <v>0</v>
      </c>
      <c r="AB49" s="1135">
        <f>Q49+AA49</f>
        <v>3397250</v>
      </c>
    </row>
    <row r="50" spans="1:29">
      <c r="A50" s="1807" t="s">
        <v>38</v>
      </c>
      <c r="B50" s="1807"/>
      <c r="C50" s="1807"/>
      <c r="D50" s="1807"/>
      <c r="E50" s="1807"/>
      <c r="F50" s="1807"/>
      <c r="G50" s="1807"/>
      <c r="H50" s="1807"/>
      <c r="I50" s="1161"/>
      <c r="J50" s="1162">
        <f>SUM(J46:J49)</f>
        <v>3360000</v>
      </c>
      <c r="K50" s="1163"/>
      <c r="L50" s="1162">
        <f>SUM(L46:L49)</f>
        <v>3034500</v>
      </c>
      <c r="M50" s="1163"/>
      <c r="N50" s="1162">
        <f>SUM(N46:N49)</f>
        <v>0</v>
      </c>
      <c r="O50" s="1163"/>
      <c r="P50" s="1162">
        <f>SUM(P46:P49)</f>
        <v>400000</v>
      </c>
      <c r="Q50" s="1162">
        <f>SUM(Q46:Q49)</f>
        <v>6794500</v>
      </c>
      <c r="R50" s="1164"/>
      <c r="S50" s="1162">
        <f>SUM(S46:S49)</f>
        <v>4324512.0000000009</v>
      </c>
      <c r="T50" s="1164"/>
      <c r="U50" s="1162">
        <f>SUM(U46:U49)</f>
        <v>3120000</v>
      </c>
      <c r="V50" s="1164"/>
      <c r="W50" s="1162">
        <f>SUM(W46:W49)</f>
        <v>226680</v>
      </c>
      <c r="X50" s="1164"/>
      <c r="Y50" s="1162">
        <f>SUM(Y46:Y49)</f>
        <v>11618300</v>
      </c>
      <c r="Z50" s="1162">
        <f>SUM(Z46:Z49)</f>
        <v>782096</v>
      </c>
      <c r="AA50" s="1162">
        <f>SUM(AA46:AA49)</f>
        <v>20071588</v>
      </c>
      <c r="AB50" s="1162">
        <f>SUM(AB46:AB49)</f>
        <v>26866088</v>
      </c>
      <c r="AC50" s="1120">
        <f>AB50-AA50-Q50</f>
        <v>0</v>
      </c>
    </row>
    <row r="51" spans="1:29">
      <c r="A51" s="1814" t="s">
        <v>1155</v>
      </c>
      <c r="B51" s="1815"/>
      <c r="C51" s="1815"/>
      <c r="D51" s="1815"/>
      <c r="E51" s="1815"/>
      <c r="F51" s="1815"/>
      <c r="G51" s="1815"/>
      <c r="H51" s="1815"/>
      <c r="I51" s="1815"/>
      <c r="J51" s="1816"/>
      <c r="K51" s="1816"/>
      <c r="L51" s="1816"/>
      <c r="M51" s="1816"/>
      <c r="N51" s="1816"/>
      <c r="O51" s="1816"/>
      <c r="P51" s="1816"/>
      <c r="Q51" s="1816"/>
      <c r="R51" s="1816"/>
      <c r="S51" s="1816"/>
      <c r="T51" s="1816"/>
      <c r="U51" s="1816"/>
      <c r="V51" s="1816"/>
      <c r="W51" s="1816"/>
      <c r="X51" s="1816"/>
      <c r="Y51" s="1816"/>
      <c r="Z51" s="1816"/>
      <c r="AA51" s="1816"/>
      <c r="AB51" s="1817"/>
    </row>
    <row r="52" spans="1:29" ht="144.75" customHeight="1">
      <c r="A52" s="1165">
        <v>30</v>
      </c>
      <c r="B52" s="1129">
        <v>1</v>
      </c>
      <c r="C52" s="1126" t="s">
        <v>1106</v>
      </c>
      <c r="D52" s="1132" t="s">
        <v>342</v>
      </c>
      <c r="E52" s="1132" t="s">
        <v>1441</v>
      </c>
      <c r="F52" s="1166">
        <v>10</v>
      </c>
      <c r="G52" s="1166">
        <v>6</v>
      </c>
      <c r="H52" s="1149"/>
      <c r="I52" s="1127">
        <v>12000</v>
      </c>
      <c r="J52" s="1137">
        <f t="shared" ref="J52" si="40">(G52+H52)*I52*F52</f>
        <v>720000</v>
      </c>
      <c r="K52" s="1149">
        <f>2.5*4335</f>
        <v>10837.5</v>
      </c>
      <c r="L52" s="1131">
        <f t="shared" ref="L52" si="41">K52*F52*G52</f>
        <v>650250</v>
      </c>
      <c r="M52" s="1138">
        <f>2*4335</f>
        <v>8670</v>
      </c>
      <c r="N52" s="1138">
        <f t="shared" ref="N52" si="42">M52*H52*F52</f>
        <v>0</v>
      </c>
      <c r="O52" s="1133">
        <v>10000</v>
      </c>
      <c r="P52" s="1124">
        <f>O52*(H52+G52)*2</f>
        <v>120000</v>
      </c>
      <c r="Q52" s="1138">
        <f t="shared" ref="Q52:Q56" si="43">SUM(J52+L52+N52+P52)</f>
        <v>1490250</v>
      </c>
      <c r="R52" s="1166"/>
      <c r="S52" s="1149"/>
      <c r="T52" s="1166"/>
      <c r="U52" s="1149"/>
      <c r="V52" s="1133"/>
      <c r="W52" s="1133">
        <f t="shared" ref="W52:W56" si="44">V52*(G52+H52)*F52</f>
        <v>0</v>
      </c>
      <c r="X52" s="1133"/>
      <c r="Y52" s="1133"/>
      <c r="Z52" s="1133"/>
      <c r="AA52" s="1149">
        <f t="shared" ref="AA52:AA56" si="45">S52+U52+W52+Y52+Z52</f>
        <v>0</v>
      </c>
      <c r="AB52" s="1149">
        <f t="shared" ref="AB52:AB56" si="46">AA52+Q52</f>
        <v>1490250</v>
      </c>
    </row>
    <row r="53" spans="1:29" ht="37.5">
      <c r="A53" s="1165">
        <v>31</v>
      </c>
      <c r="B53" s="1129">
        <v>2</v>
      </c>
      <c r="C53" s="1136" t="s">
        <v>383</v>
      </c>
      <c r="D53" s="1132" t="s">
        <v>342</v>
      </c>
      <c r="E53" s="1132" t="s">
        <v>1336</v>
      </c>
      <c r="F53" s="1166">
        <v>7</v>
      </c>
      <c r="G53" s="1166">
        <v>6</v>
      </c>
      <c r="H53" s="1149"/>
      <c r="I53" s="1149"/>
      <c r="J53" s="1137"/>
      <c r="K53" s="1149"/>
      <c r="L53" s="1131"/>
      <c r="M53" s="1138"/>
      <c r="N53" s="1138"/>
      <c r="O53" s="1133"/>
      <c r="P53" s="1124"/>
      <c r="Q53" s="1138">
        <f t="shared" si="43"/>
        <v>0</v>
      </c>
      <c r="R53" s="1130">
        <f>80*$AB$4</f>
        <v>36037.600000000006</v>
      </c>
      <c r="S53" s="1149">
        <f>R53*F53*(G53+H53)</f>
        <v>1513579.2000000002</v>
      </c>
      <c r="T53" s="1130">
        <v>26000</v>
      </c>
      <c r="U53" s="1149">
        <f>T53*F53*(G53+H53)</f>
        <v>1092000</v>
      </c>
      <c r="V53" s="1133">
        <v>1889</v>
      </c>
      <c r="W53" s="1133">
        <f t="shared" si="44"/>
        <v>79338</v>
      </c>
      <c r="X53" s="1133">
        <v>805167</v>
      </c>
      <c r="Y53" s="1133">
        <f>X53*(G53+H53)</f>
        <v>4831002</v>
      </c>
      <c r="Z53" s="1130">
        <f>80*$AB$5*(G53+H53)</f>
        <v>234628.80000000002</v>
      </c>
      <c r="AA53" s="1149">
        <f t="shared" si="45"/>
        <v>7750548</v>
      </c>
      <c r="AB53" s="1149">
        <f t="shared" si="46"/>
        <v>7750548</v>
      </c>
    </row>
    <row r="54" spans="1:29" ht="153.75" customHeight="1">
      <c r="A54" s="1165">
        <v>32</v>
      </c>
      <c r="B54" s="1129">
        <v>3</v>
      </c>
      <c r="C54" s="1126" t="s">
        <v>1106</v>
      </c>
      <c r="D54" s="1132" t="s">
        <v>1337</v>
      </c>
      <c r="E54" s="1132" t="s">
        <v>1441</v>
      </c>
      <c r="F54" s="1166">
        <v>10</v>
      </c>
      <c r="G54" s="1167">
        <v>8</v>
      </c>
      <c r="H54" s="1149"/>
      <c r="I54" s="1127">
        <v>12000</v>
      </c>
      <c r="J54" s="1149">
        <f t="shared" ref="J54" si="47">(G54+H54)*I54*F54</f>
        <v>960000</v>
      </c>
      <c r="K54" s="1149">
        <f>2.5*4335</f>
        <v>10837.5</v>
      </c>
      <c r="L54" s="1149">
        <f t="shared" ref="L54" si="48">K54*F54*G54</f>
        <v>867000</v>
      </c>
      <c r="M54" s="1149">
        <f>2*4335</f>
        <v>8670</v>
      </c>
      <c r="N54" s="1149">
        <f t="shared" ref="N54" si="49">M54*H54*F54</f>
        <v>0</v>
      </c>
      <c r="O54" s="1133">
        <v>10000</v>
      </c>
      <c r="P54" s="1124">
        <f>O54*(H54+G54)*2</f>
        <v>160000</v>
      </c>
      <c r="Q54" s="1149">
        <f t="shared" si="43"/>
        <v>1987000</v>
      </c>
      <c r="R54" s="1132"/>
      <c r="S54" s="1131"/>
      <c r="T54" s="1166"/>
      <c r="U54" s="1131"/>
      <c r="V54" s="1130"/>
      <c r="W54" s="1131">
        <f t="shared" si="44"/>
        <v>0</v>
      </c>
      <c r="X54" s="1133"/>
      <c r="Y54" s="1131"/>
      <c r="Z54" s="1133"/>
      <c r="AA54" s="1135">
        <f t="shared" si="45"/>
        <v>0</v>
      </c>
      <c r="AB54" s="1149">
        <f t="shared" si="46"/>
        <v>1987000</v>
      </c>
    </row>
    <row r="55" spans="1:29" ht="37.5">
      <c r="A55" s="1165">
        <v>33</v>
      </c>
      <c r="B55" s="1129">
        <v>4</v>
      </c>
      <c r="C55" s="1136" t="s">
        <v>383</v>
      </c>
      <c r="D55" s="1132" t="s">
        <v>1337</v>
      </c>
      <c r="E55" s="1132" t="s">
        <v>1431</v>
      </c>
      <c r="F55" s="1166">
        <v>7</v>
      </c>
      <c r="G55" s="1167">
        <v>8</v>
      </c>
      <c r="H55" s="1149"/>
      <c r="I55" s="1149"/>
      <c r="J55" s="1137"/>
      <c r="K55" s="1149"/>
      <c r="L55" s="1131"/>
      <c r="M55" s="1138"/>
      <c r="N55" s="1138"/>
      <c r="O55" s="1133"/>
      <c r="P55" s="1124"/>
      <c r="Q55" s="1138">
        <f t="shared" si="43"/>
        <v>0</v>
      </c>
      <c r="R55" s="1130">
        <f>80*$AB$4</f>
        <v>36037.600000000006</v>
      </c>
      <c r="S55" s="1149">
        <f>R55*F55*(G55+H55)</f>
        <v>2018105.6000000003</v>
      </c>
      <c r="T55" s="1130">
        <v>26000</v>
      </c>
      <c r="U55" s="1149">
        <f>T55*F55*(G55+H55)</f>
        <v>1456000</v>
      </c>
      <c r="V55" s="1133">
        <v>1889</v>
      </c>
      <c r="W55" s="1133">
        <f t="shared" si="44"/>
        <v>105784</v>
      </c>
      <c r="X55" s="1133">
        <v>646916</v>
      </c>
      <c r="Y55" s="1133">
        <f>X55*(G55+H55)</f>
        <v>5175328</v>
      </c>
      <c r="Z55" s="1130">
        <f>80*$AB$5*(G55+H55)</f>
        <v>312838.40000000002</v>
      </c>
      <c r="AA55" s="1149">
        <f t="shared" si="45"/>
        <v>9068056.0000000019</v>
      </c>
      <c r="AB55" s="1149">
        <f t="shared" si="46"/>
        <v>9068056.0000000019</v>
      </c>
    </row>
    <row r="56" spans="1:29" ht="37.5">
      <c r="A56" s="1165">
        <v>34</v>
      </c>
      <c r="B56" s="1129">
        <v>5</v>
      </c>
      <c r="C56" s="1136" t="s">
        <v>383</v>
      </c>
      <c r="D56" s="1132" t="s">
        <v>1372</v>
      </c>
      <c r="E56" s="1132" t="s">
        <v>1373</v>
      </c>
      <c r="F56" s="1166">
        <v>7</v>
      </c>
      <c r="G56" s="1166">
        <v>6</v>
      </c>
      <c r="H56" s="1149"/>
      <c r="I56" s="1149"/>
      <c r="J56" s="1137"/>
      <c r="K56" s="1149"/>
      <c r="L56" s="1131"/>
      <c r="M56" s="1138"/>
      <c r="N56" s="1138"/>
      <c r="O56" s="1133"/>
      <c r="P56" s="1124"/>
      <c r="Q56" s="1138">
        <f t="shared" si="43"/>
        <v>0</v>
      </c>
      <c r="R56" s="1130">
        <f>80*$AB$4</f>
        <v>36037.600000000006</v>
      </c>
      <c r="S56" s="1149">
        <f>R56*F56*(G56+H56)</f>
        <v>1513579.2000000002</v>
      </c>
      <c r="T56" s="1130">
        <v>26000</v>
      </c>
      <c r="U56" s="1149">
        <f>T56*F56*(G56+H56)</f>
        <v>1092000</v>
      </c>
      <c r="V56" s="1133">
        <v>657</v>
      </c>
      <c r="W56" s="1133">
        <f t="shared" si="44"/>
        <v>27594</v>
      </c>
      <c r="X56" s="1133">
        <v>267695</v>
      </c>
      <c r="Y56" s="1133">
        <f>X56*(G56+H56)</f>
        <v>1606170</v>
      </c>
      <c r="Z56" s="1133"/>
      <c r="AA56" s="1149">
        <f t="shared" si="45"/>
        <v>4239343.2</v>
      </c>
      <c r="AB56" s="1149">
        <f t="shared" si="46"/>
        <v>4239343.2</v>
      </c>
    </row>
    <row r="57" spans="1:29">
      <c r="A57" s="1807" t="s">
        <v>38</v>
      </c>
      <c r="B57" s="1807"/>
      <c r="C57" s="1807"/>
      <c r="D57" s="1807"/>
      <c r="E57" s="1807"/>
      <c r="F57" s="1807"/>
      <c r="G57" s="1807"/>
      <c r="H57" s="1807"/>
      <c r="I57" s="1168"/>
      <c r="J57" s="1169">
        <f>SUM(J52:J56)</f>
        <v>1680000</v>
      </c>
      <c r="K57" s="1169"/>
      <c r="L57" s="1169">
        <f>SUM(L52:L56)</f>
        <v>1517250</v>
      </c>
      <c r="M57" s="1169"/>
      <c r="N57" s="1169">
        <f>SUM(N52:N56)</f>
        <v>0</v>
      </c>
      <c r="O57" s="1170"/>
      <c r="P57" s="1169">
        <f>SUM(P52:P56)</f>
        <v>280000</v>
      </c>
      <c r="Q57" s="1169">
        <f>SUM(Q52:Q56)</f>
        <v>3477250</v>
      </c>
      <c r="R57" s="1171"/>
      <c r="S57" s="1169">
        <f>SUM(S52:S56)</f>
        <v>5045264.0000000009</v>
      </c>
      <c r="T57" s="1171"/>
      <c r="U57" s="1169">
        <f>SUM(U52:U56)</f>
        <v>3640000</v>
      </c>
      <c r="V57" s="1170"/>
      <c r="W57" s="1169">
        <f>SUM(W52:W56)</f>
        <v>212716</v>
      </c>
      <c r="X57" s="1170"/>
      <c r="Y57" s="1169">
        <f>SUM(Y52:Y56)</f>
        <v>11612500</v>
      </c>
      <c r="Z57" s="1169">
        <f>SUM(Z52:Z56)</f>
        <v>547467.20000000007</v>
      </c>
      <c r="AA57" s="1169">
        <f>SUM(AA52:AA56)</f>
        <v>21057947.199999999</v>
      </c>
      <c r="AB57" s="1169">
        <f>SUM(AB52:AB56)</f>
        <v>24535197.199999999</v>
      </c>
      <c r="AC57" s="1120">
        <f>AB57-AA57-Q57</f>
        <v>0</v>
      </c>
    </row>
    <row r="58" spans="1:29">
      <c r="A58" s="1818" t="s">
        <v>1156</v>
      </c>
      <c r="B58" s="1818"/>
      <c r="C58" s="1818"/>
      <c r="D58" s="1818"/>
      <c r="E58" s="1818"/>
      <c r="F58" s="1818"/>
      <c r="G58" s="1818"/>
      <c r="H58" s="1818"/>
      <c r="I58" s="1818"/>
      <c r="J58" s="1818"/>
      <c r="K58" s="1818"/>
      <c r="L58" s="1818"/>
      <c r="M58" s="1818"/>
      <c r="N58" s="1818"/>
      <c r="O58" s="1818"/>
      <c r="P58" s="1818"/>
      <c r="Q58" s="1818"/>
      <c r="R58" s="1818"/>
      <c r="S58" s="1818"/>
      <c r="T58" s="1818"/>
      <c r="U58" s="1818"/>
      <c r="V58" s="1818"/>
      <c r="W58" s="1818"/>
      <c r="X58" s="1818"/>
      <c r="Y58" s="1818"/>
      <c r="Z58" s="1818"/>
      <c r="AA58" s="1818"/>
      <c r="AB58" s="1818"/>
    </row>
    <row r="59" spans="1:29" ht="140.25" customHeight="1">
      <c r="A59" s="1165">
        <v>35</v>
      </c>
      <c r="B59" s="1129">
        <v>1</v>
      </c>
      <c r="C59" s="1158" t="s">
        <v>1338</v>
      </c>
      <c r="D59" s="1132" t="s">
        <v>1339</v>
      </c>
      <c r="E59" s="1132" t="s">
        <v>1441</v>
      </c>
      <c r="F59" s="1166">
        <v>15</v>
      </c>
      <c r="G59" s="1166">
        <v>7</v>
      </c>
      <c r="H59" s="1149"/>
      <c r="I59" s="1127">
        <v>12000</v>
      </c>
      <c r="J59" s="1137">
        <f t="shared" ref="J59:J60" si="50">(G59+H59)*I59*F59</f>
        <v>1260000</v>
      </c>
      <c r="K59" s="1149">
        <f>2.5*4335</f>
        <v>10837.5</v>
      </c>
      <c r="L59" s="1131">
        <f t="shared" ref="L59:L60" si="51">K59*F59*G59</f>
        <v>1137937.5</v>
      </c>
      <c r="M59" s="1138">
        <f>2*4335</f>
        <v>8670</v>
      </c>
      <c r="N59" s="1138">
        <f t="shared" ref="N59:N60" si="52">M59*H59*F59</f>
        <v>0</v>
      </c>
      <c r="O59" s="1133">
        <v>10000</v>
      </c>
      <c r="P59" s="1124">
        <f>O59*(H59+G59)*2</f>
        <v>140000</v>
      </c>
      <c r="Q59" s="1138">
        <f t="shared" ref="Q59:Q63" si="53">SUM(J59+L59+N59+P59)</f>
        <v>2537937.5</v>
      </c>
      <c r="R59" s="1166"/>
      <c r="S59" s="1149"/>
      <c r="T59" s="1166"/>
      <c r="U59" s="1149"/>
      <c r="V59" s="1133"/>
      <c r="W59" s="1133">
        <f t="shared" ref="W59:W63" si="54">V59*(G59+H59)*F59</f>
        <v>0</v>
      </c>
      <c r="X59" s="1133"/>
      <c r="Y59" s="1133"/>
      <c r="Z59" s="1133"/>
      <c r="AA59" s="1149">
        <f t="shared" ref="AA59:AA63" si="55">S59+U59+W59+Y59+Z59</f>
        <v>0</v>
      </c>
      <c r="AB59" s="1149">
        <f t="shared" ref="AB59:AB63" si="56">AA59+Q59</f>
        <v>2537937.5</v>
      </c>
    </row>
    <row r="60" spans="1:29" ht="144.75" customHeight="1">
      <c r="A60" s="1165">
        <v>36</v>
      </c>
      <c r="B60" s="1129">
        <v>2</v>
      </c>
      <c r="C60" s="1158" t="s">
        <v>1106</v>
      </c>
      <c r="D60" s="1132" t="s">
        <v>1312</v>
      </c>
      <c r="E60" s="1132" t="s">
        <v>1441</v>
      </c>
      <c r="F60" s="1166">
        <v>10</v>
      </c>
      <c r="G60" s="1166">
        <v>7</v>
      </c>
      <c r="H60" s="1149"/>
      <c r="I60" s="1127">
        <v>12000</v>
      </c>
      <c r="J60" s="1137">
        <f t="shared" si="50"/>
        <v>840000</v>
      </c>
      <c r="K60" s="1149">
        <f>2.5*4335</f>
        <v>10837.5</v>
      </c>
      <c r="L60" s="1131">
        <f t="shared" si="51"/>
        <v>758625</v>
      </c>
      <c r="M60" s="1138">
        <f>2*4335</f>
        <v>8670</v>
      </c>
      <c r="N60" s="1138">
        <f t="shared" si="52"/>
        <v>0</v>
      </c>
      <c r="O60" s="1133">
        <v>10000</v>
      </c>
      <c r="P60" s="1124">
        <f>O60*(H60+G60)*2</f>
        <v>140000</v>
      </c>
      <c r="Q60" s="1138">
        <f t="shared" si="53"/>
        <v>1738625</v>
      </c>
      <c r="R60" s="1166"/>
      <c r="S60" s="1149"/>
      <c r="T60" s="1166"/>
      <c r="U60" s="1149"/>
      <c r="V60" s="1133"/>
      <c r="W60" s="1133">
        <f t="shared" si="54"/>
        <v>0</v>
      </c>
      <c r="X60" s="1133"/>
      <c r="Y60" s="1133"/>
      <c r="Z60" s="1133"/>
      <c r="AA60" s="1149">
        <f t="shared" si="55"/>
        <v>0</v>
      </c>
      <c r="AB60" s="1149">
        <f t="shared" si="56"/>
        <v>1738625</v>
      </c>
    </row>
    <row r="61" spans="1:29" ht="37.5">
      <c r="A61" s="1165">
        <v>37</v>
      </c>
      <c r="B61" s="1129">
        <v>3</v>
      </c>
      <c r="C61" s="1156" t="s">
        <v>383</v>
      </c>
      <c r="D61" s="1132" t="s">
        <v>1340</v>
      </c>
      <c r="E61" s="1132" t="s">
        <v>953</v>
      </c>
      <c r="F61" s="1166">
        <v>7</v>
      </c>
      <c r="G61" s="1166">
        <v>6</v>
      </c>
      <c r="H61" s="1172"/>
      <c r="I61" s="1149"/>
      <c r="J61" s="1149"/>
      <c r="K61" s="1149"/>
      <c r="L61" s="1149"/>
      <c r="M61" s="1149"/>
      <c r="N61" s="1149"/>
      <c r="O61" s="1133"/>
      <c r="P61" s="1133"/>
      <c r="Q61" s="1149">
        <f t="shared" si="53"/>
        <v>0</v>
      </c>
      <c r="R61" s="1130">
        <f>80*$AB$4</f>
        <v>36037.600000000006</v>
      </c>
      <c r="S61" s="1127">
        <f>R61*F61*(G61+H61)</f>
        <v>1513579.2000000002</v>
      </c>
      <c r="T61" s="1130">
        <v>26000</v>
      </c>
      <c r="U61" s="1131">
        <f>T61*F61*(G61+H61)</f>
        <v>1092000</v>
      </c>
      <c r="V61" s="1133">
        <v>1889</v>
      </c>
      <c r="W61" s="1131">
        <f t="shared" si="54"/>
        <v>79338</v>
      </c>
      <c r="X61" s="1133">
        <v>442311</v>
      </c>
      <c r="Y61" s="1131">
        <f>X61*(G61+H61)</f>
        <v>2653866</v>
      </c>
      <c r="Z61" s="1130">
        <f>80*$AB$5*(G61+H61)</f>
        <v>234628.80000000002</v>
      </c>
      <c r="AA61" s="1135">
        <f t="shared" si="55"/>
        <v>5573412</v>
      </c>
      <c r="AB61" s="1149">
        <f t="shared" si="56"/>
        <v>5573412</v>
      </c>
    </row>
    <row r="62" spans="1:29" ht="146.25" customHeight="1">
      <c r="A62" s="1165">
        <v>38</v>
      </c>
      <c r="B62" s="1129">
        <v>4</v>
      </c>
      <c r="C62" s="1158" t="s">
        <v>1106</v>
      </c>
      <c r="D62" s="1132" t="s">
        <v>1341</v>
      </c>
      <c r="E62" s="1132" t="s">
        <v>1441</v>
      </c>
      <c r="F62" s="1166">
        <v>9</v>
      </c>
      <c r="G62" s="1166">
        <v>7</v>
      </c>
      <c r="H62" s="1149"/>
      <c r="I62" s="1127">
        <v>12000</v>
      </c>
      <c r="J62" s="1137">
        <f t="shared" ref="J62" si="57">(G62+H62)*I62*F62</f>
        <v>756000</v>
      </c>
      <c r="K62" s="1149">
        <f>2.5*4335</f>
        <v>10837.5</v>
      </c>
      <c r="L62" s="1131">
        <f t="shared" ref="L62" si="58">K62*F62*G62</f>
        <v>682762.5</v>
      </c>
      <c r="M62" s="1138">
        <f>2*4335</f>
        <v>8670</v>
      </c>
      <c r="N62" s="1138">
        <f t="shared" ref="N62" si="59">M62*H62*F62</f>
        <v>0</v>
      </c>
      <c r="O62" s="1133">
        <v>10000</v>
      </c>
      <c r="P62" s="1124">
        <f>O62*(H62+G62)*2</f>
        <v>140000</v>
      </c>
      <c r="Q62" s="1138">
        <f t="shared" si="53"/>
        <v>1578762.5</v>
      </c>
      <c r="R62" s="1166"/>
      <c r="S62" s="1149"/>
      <c r="T62" s="1166"/>
      <c r="U62" s="1149"/>
      <c r="V62" s="1133"/>
      <c r="W62" s="1133">
        <f t="shared" si="54"/>
        <v>0</v>
      </c>
      <c r="X62" s="1133"/>
      <c r="Y62" s="1133"/>
      <c r="Z62" s="1133"/>
      <c r="AA62" s="1149">
        <f t="shared" si="55"/>
        <v>0</v>
      </c>
      <c r="AB62" s="1149">
        <f t="shared" si="56"/>
        <v>1578762.5</v>
      </c>
    </row>
    <row r="63" spans="1:29" ht="37.5">
      <c r="A63" s="1165">
        <v>39</v>
      </c>
      <c r="B63" s="1129">
        <v>5</v>
      </c>
      <c r="C63" s="1156" t="s">
        <v>383</v>
      </c>
      <c r="D63" s="1132" t="s">
        <v>386</v>
      </c>
      <c r="E63" s="1132" t="s">
        <v>927</v>
      </c>
      <c r="F63" s="1166">
        <v>7</v>
      </c>
      <c r="G63" s="1166">
        <v>6</v>
      </c>
      <c r="H63" s="1149"/>
      <c r="I63" s="1149"/>
      <c r="J63" s="1137"/>
      <c r="K63" s="1149"/>
      <c r="L63" s="1131"/>
      <c r="M63" s="1138"/>
      <c r="N63" s="1138"/>
      <c r="O63" s="1133"/>
      <c r="P63" s="1124"/>
      <c r="Q63" s="1138">
        <f t="shared" si="53"/>
        <v>0</v>
      </c>
      <c r="R63" s="1130">
        <f>80*$AB$4</f>
        <v>36037.600000000006</v>
      </c>
      <c r="S63" s="1149">
        <f>R63*F63*(G63+H63)</f>
        <v>1513579.2000000002</v>
      </c>
      <c r="T63" s="1130">
        <v>26000</v>
      </c>
      <c r="U63" s="1149">
        <f>T63*F63*(G63+H63)</f>
        <v>1092000</v>
      </c>
      <c r="V63" s="1133">
        <v>1889</v>
      </c>
      <c r="W63" s="1133">
        <f t="shared" si="54"/>
        <v>79338</v>
      </c>
      <c r="X63" s="1133">
        <v>646412</v>
      </c>
      <c r="Y63" s="1133">
        <f>X63*(G63+H63)</f>
        <v>3878472</v>
      </c>
      <c r="Z63" s="1130">
        <f>80*$AB$5*(G63+H63)</f>
        <v>234628.80000000002</v>
      </c>
      <c r="AA63" s="1149">
        <f t="shared" si="55"/>
        <v>6798018</v>
      </c>
      <c r="AB63" s="1149">
        <f t="shared" si="56"/>
        <v>6798018</v>
      </c>
    </row>
    <row r="64" spans="1:29">
      <c r="A64" s="1796"/>
      <c r="B64" s="1797"/>
      <c r="C64" s="1797"/>
      <c r="D64" s="1797"/>
      <c r="E64" s="1797"/>
      <c r="F64" s="1797"/>
      <c r="G64" s="1797"/>
      <c r="H64" s="1798"/>
      <c r="I64" s="1145"/>
      <c r="J64" s="1145">
        <f>SUM(J59:J63)</f>
        <v>2856000</v>
      </c>
      <c r="K64" s="1145"/>
      <c r="L64" s="1145">
        <f>SUM(L59:L63)</f>
        <v>2579325</v>
      </c>
      <c r="M64" s="1145"/>
      <c r="N64" s="1145">
        <f>SUM(N59:N63)</f>
        <v>0</v>
      </c>
      <c r="O64" s="1213"/>
      <c r="P64" s="1145">
        <f>SUM(P59:P63)</f>
        <v>420000</v>
      </c>
      <c r="Q64" s="1145">
        <f>SUM(Q59:Q63)</f>
        <v>5855325</v>
      </c>
      <c r="R64" s="1213"/>
      <c r="S64" s="1145">
        <f>SUM(S59:S63)</f>
        <v>3027158.4000000004</v>
      </c>
      <c r="T64" s="1213"/>
      <c r="U64" s="1145">
        <f>SUM(U59:U63)</f>
        <v>2184000</v>
      </c>
      <c r="V64" s="1213"/>
      <c r="W64" s="1145">
        <f>SUM(W59:W63)</f>
        <v>158676</v>
      </c>
      <c r="X64" s="1213"/>
      <c r="Y64" s="1145">
        <f>SUM(Y59:Y63)</f>
        <v>6532338</v>
      </c>
      <c r="Z64" s="1145">
        <f>SUM(Z59:Z63)</f>
        <v>469257.60000000003</v>
      </c>
      <c r="AA64" s="1145">
        <f>SUM(AA59:AA63)</f>
        <v>12371430</v>
      </c>
      <c r="AB64" s="1145">
        <f>SUM(AB59:AB63)</f>
        <v>18226755</v>
      </c>
      <c r="AC64" s="1120">
        <f>AB64-AA64-Q64</f>
        <v>0</v>
      </c>
    </row>
    <row r="65" spans="1:29">
      <c r="A65" s="1819" t="s">
        <v>1342</v>
      </c>
      <c r="B65" s="1820"/>
      <c r="C65" s="1820"/>
      <c r="D65" s="1820"/>
      <c r="E65" s="1820"/>
      <c r="F65" s="1820"/>
      <c r="G65" s="1820"/>
      <c r="H65" s="1820"/>
      <c r="I65" s="1805"/>
      <c r="J65" s="1805"/>
      <c r="K65" s="1805"/>
      <c r="L65" s="1805"/>
      <c r="M65" s="1805"/>
      <c r="N65" s="1805"/>
      <c r="O65" s="1805"/>
      <c r="P65" s="1805"/>
      <c r="Q65" s="1805"/>
      <c r="R65" s="1805"/>
      <c r="S65" s="1805"/>
      <c r="T65" s="1805"/>
      <c r="U65" s="1805"/>
      <c r="V65" s="1805"/>
      <c r="W65" s="1805"/>
      <c r="X65" s="1805"/>
      <c r="Y65" s="1805"/>
      <c r="Z65" s="1805"/>
      <c r="AA65" s="1805"/>
      <c r="AB65" s="1821"/>
    </row>
    <row r="66" spans="1:29" ht="131.25">
      <c r="A66" s="1138">
        <v>40</v>
      </c>
      <c r="B66" s="1138">
        <v>1</v>
      </c>
      <c r="C66" s="1126" t="s">
        <v>1108</v>
      </c>
      <c r="D66" s="1132" t="s">
        <v>384</v>
      </c>
      <c r="E66" s="1127" t="s">
        <v>1440</v>
      </c>
      <c r="F66" s="1127">
        <v>14</v>
      </c>
      <c r="G66" s="1129">
        <v>15</v>
      </c>
      <c r="H66" s="1157"/>
      <c r="I66" s="1127">
        <v>12000</v>
      </c>
      <c r="J66" s="1129">
        <f t="shared" ref="J66" si="60">(G66+H66)*I66*F66</f>
        <v>2520000</v>
      </c>
      <c r="K66" s="1149">
        <f>2.5*4335</f>
        <v>10837.5</v>
      </c>
      <c r="L66" s="1127">
        <f t="shared" ref="L66" si="61">K66*F66*G66</f>
        <v>2275875</v>
      </c>
      <c r="M66" s="1124">
        <f>2*4335</f>
        <v>8670</v>
      </c>
      <c r="N66" s="1124">
        <f t="shared" ref="N66" si="62">M66*H66*F66</f>
        <v>0</v>
      </c>
      <c r="O66" s="1124">
        <v>10000</v>
      </c>
      <c r="P66" s="1124">
        <f>O66*(H66+G66)*2</f>
        <v>300000</v>
      </c>
      <c r="Q66" s="1124">
        <f t="shared" ref="Q66:Q68" si="63">SUM(J66+L66+N66+P66)</f>
        <v>5095875</v>
      </c>
      <c r="R66" s="1130"/>
      <c r="S66" s="1131"/>
      <c r="T66" s="1130"/>
      <c r="U66" s="1131"/>
      <c r="V66" s="1130"/>
      <c r="W66" s="1131">
        <f t="shared" ref="W66:W68" si="64">V66*(G66+H66)*F66</f>
        <v>0</v>
      </c>
      <c r="X66" s="1130"/>
      <c r="Y66" s="1131"/>
      <c r="Z66" s="1130"/>
      <c r="AA66" s="1135">
        <f t="shared" ref="AA66:AA68" si="65">S66+U66+W66+Y66+Z66</f>
        <v>0</v>
      </c>
      <c r="AB66" s="1135">
        <f t="shared" ref="AB66:AB68" si="66">AA66+Q66</f>
        <v>5095875</v>
      </c>
    </row>
    <row r="67" spans="1:29" ht="56.25">
      <c r="A67" s="1138">
        <v>41</v>
      </c>
      <c r="B67" s="1138">
        <v>2</v>
      </c>
      <c r="C67" s="1156" t="s">
        <v>1343</v>
      </c>
      <c r="D67" s="1132" t="s">
        <v>1344</v>
      </c>
      <c r="E67" s="1127" t="s">
        <v>1345</v>
      </c>
      <c r="F67" s="1127">
        <v>6</v>
      </c>
      <c r="G67" s="1129">
        <v>15</v>
      </c>
      <c r="H67" s="1159"/>
      <c r="I67" s="1127"/>
      <c r="J67" s="1129"/>
      <c r="K67" s="1127"/>
      <c r="L67" s="1127"/>
      <c r="M67" s="1124"/>
      <c r="N67" s="1124"/>
      <c r="O67" s="1124"/>
      <c r="P67" s="1124"/>
      <c r="Q67" s="1124">
        <f t="shared" si="63"/>
        <v>0</v>
      </c>
      <c r="R67" s="1130">
        <f>80*$AB$4</f>
        <v>36037.600000000006</v>
      </c>
      <c r="S67" s="1131">
        <f>R67*F67*(G67+H67)</f>
        <v>3243384.0000000005</v>
      </c>
      <c r="T67" s="1130">
        <v>26000</v>
      </c>
      <c r="U67" s="1131">
        <f>T67*F67*(G67+H67)</f>
        <v>2340000</v>
      </c>
      <c r="V67" s="1132">
        <v>657</v>
      </c>
      <c r="W67" s="1131">
        <f t="shared" si="64"/>
        <v>59130</v>
      </c>
      <c r="X67" s="1132">
        <v>366914</v>
      </c>
      <c r="Y67" s="1131">
        <f>X67*(G67+H67)</f>
        <v>5503710</v>
      </c>
      <c r="Z67" s="1132"/>
      <c r="AA67" s="1135">
        <f t="shared" si="65"/>
        <v>11146224</v>
      </c>
      <c r="AB67" s="1135">
        <f t="shared" si="66"/>
        <v>11146224</v>
      </c>
    </row>
    <row r="68" spans="1:29" ht="37.5">
      <c r="A68" s="1138">
        <v>42</v>
      </c>
      <c r="B68" s="1138">
        <v>3</v>
      </c>
      <c r="C68" s="1126" t="s">
        <v>1346</v>
      </c>
      <c r="D68" s="1132" t="s">
        <v>1146</v>
      </c>
      <c r="E68" s="1127" t="s">
        <v>1347</v>
      </c>
      <c r="F68" s="1159">
        <v>10</v>
      </c>
      <c r="G68" s="1129">
        <v>15</v>
      </c>
      <c r="H68" s="1157"/>
      <c r="I68" s="1131"/>
      <c r="J68" s="1137"/>
      <c r="K68" s="1131"/>
      <c r="L68" s="1131"/>
      <c r="M68" s="1138"/>
      <c r="N68" s="1138"/>
      <c r="O68" s="1138"/>
      <c r="P68" s="1124"/>
      <c r="Q68" s="1138">
        <f t="shared" si="63"/>
        <v>0</v>
      </c>
      <c r="R68" s="1130">
        <f>80*$AB$4</f>
        <v>36037.600000000006</v>
      </c>
      <c r="S68" s="1131">
        <f>R68*F68*(G68+H68)</f>
        <v>5405640.0000000009</v>
      </c>
      <c r="T68" s="1130">
        <v>26000</v>
      </c>
      <c r="U68" s="1131">
        <f>T68*F68*(G68+H68)</f>
        <v>3900000</v>
      </c>
      <c r="V68" s="1132">
        <v>1029</v>
      </c>
      <c r="W68" s="1131">
        <f t="shared" si="64"/>
        <v>154350</v>
      </c>
      <c r="X68" s="1132">
        <v>580754</v>
      </c>
      <c r="Y68" s="1131">
        <f>X68*(G68+H68)</f>
        <v>8711310</v>
      </c>
      <c r="Z68" s="1132"/>
      <c r="AA68" s="1135">
        <f t="shared" si="65"/>
        <v>18171300</v>
      </c>
      <c r="AB68" s="1135">
        <f t="shared" si="66"/>
        <v>18171300</v>
      </c>
    </row>
    <row r="69" spans="1:29">
      <c r="A69" s="1807" t="s">
        <v>38</v>
      </c>
      <c r="B69" s="1807"/>
      <c r="C69" s="1807"/>
      <c r="D69" s="1807"/>
      <c r="E69" s="1807"/>
      <c r="F69" s="1807"/>
      <c r="G69" s="1807"/>
      <c r="H69" s="1807"/>
      <c r="I69" s="1145"/>
      <c r="J69" s="1145">
        <f>SUM(J66:J68)</f>
        <v>2520000</v>
      </c>
      <c r="K69" s="1145"/>
      <c r="L69" s="1145">
        <f>SUM(L66:L68)</f>
        <v>2275875</v>
      </c>
      <c r="M69" s="1145"/>
      <c r="N69" s="1145">
        <f>SUM(N66:N68)</f>
        <v>0</v>
      </c>
      <c r="O69" s="1213"/>
      <c r="P69" s="1145">
        <f>SUM(P66:P68)</f>
        <v>300000</v>
      </c>
      <c r="Q69" s="1145">
        <f>SUM(Q66:Q68)</f>
        <v>5095875</v>
      </c>
      <c r="R69" s="1213"/>
      <c r="S69" s="1145">
        <f>SUM(S66:S68)</f>
        <v>8649024.0000000019</v>
      </c>
      <c r="T69" s="1213"/>
      <c r="U69" s="1145">
        <f>SUM(U66:U68)</f>
        <v>6240000</v>
      </c>
      <c r="V69" s="1213"/>
      <c r="W69" s="1145">
        <f>SUM(W66:W68)</f>
        <v>213480</v>
      </c>
      <c r="X69" s="1213"/>
      <c r="Y69" s="1145">
        <f>SUM(Y66:Y68)</f>
        <v>14215020</v>
      </c>
      <c r="Z69" s="1145">
        <f>SUM(Z66:Z68)</f>
        <v>0</v>
      </c>
      <c r="AA69" s="1145">
        <f>SUM(AA66:AA68)</f>
        <v>29317524</v>
      </c>
      <c r="AB69" s="1145">
        <f>SUM(AB66:AB68)</f>
        <v>34413399</v>
      </c>
      <c r="AC69" s="1120">
        <f>AB69-AA69-Q69</f>
        <v>0</v>
      </c>
    </row>
    <row r="70" spans="1:29">
      <c r="A70" s="1819" t="s">
        <v>1348</v>
      </c>
      <c r="B70" s="1820"/>
      <c r="C70" s="1820"/>
      <c r="D70" s="1820"/>
      <c r="E70" s="1820"/>
      <c r="F70" s="1820"/>
      <c r="G70" s="1820"/>
      <c r="H70" s="1820"/>
      <c r="I70" s="1805"/>
      <c r="J70" s="1805"/>
      <c r="K70" s="1805"/>
      <c r="L70" s="1805"/>
      <c r="M70" s="1805"/>
      <c r="N70" s="1805"/>
      <c r="O70" s="1805"/>
      <c r="P70" s="1805"/>
      <c r="Q70" s="1805"/>
      <c r="R70" s="1805"/>
      <c r="S70" s="1805"/>
      <c r="T70" s="1805"/>
      <c r="U70" s="1805"/>
      <c r="V70" s="1805"/>
      <c r="W70" s="1805"/>
      <c r="X70" s="1805"/>
      <c r="Y70" s="1805"/>
      <c r="Z70" s="1805"/>
      <c r="AA70" s="1805"/>
      <c r="AB70" s="1821"/>
    </row>
    <row r="71" spans="1:29" ht="131.25">
      <c r="A71" s="1124">
        <v>43</v>
      </c>
      <c r="B71" s="1138">
        <v>1</v>
      </c>
      <c r="C71" s="1126" t="s">
        <v>1108</v>
      </c>
      <c r="D71" s="1132" t="s">
        <v>1349</v>
      </c>
      <c r="E71" s="1127" t="s">
        <v>1440</v>
      </c>
      <c r="F71" s="1159">
        <v>18</v>
      </c>
      <c r="G71" s="1129">
        <v>15</v>
      </c>
      <c r="H71" s="1159"/>
      <c r="I71" s="1127">
        <v>12000</v>
      </c>
      <c r="J71" s="1129">
        <f t="shared" ref="J71:J72" si="67">(G71+H71)*I71*F71</f>
        <v>3240000</v>
      </c>
      <c r="K71" s="1149">
        <f>2.5*4335</f>
        <v>10837.5</v>
      </c>
      <c r="L71" s="1127">
        <f t="shared" ref="L71:L72" si="68">K71*F71*G71</f>
        <v>2926125</v>
      </c>
      <c r="M71" s="1124">
        <f>2*4335</f>
        <v>8670</v>
      </c>
      <c r="N71" s="1124">
        <f t="shared" ref="N71:N72" si="69">M71*H71*F71</f>
        <v>0</v>
      </c>
      <c r="O71" s="1124">
        <v>10000</v>
      </c>
      <c r="P71" s="1124">
        <f>O71*(H71+G71)*2</f>
        <v>300000</v>
      </c>
      <c r="Q71" s="1124">
        <f t="shared" ref="Q71:Q73" si="70">SUM(J71+L71+N71+P71)</f>
        <v>6466125</v>
      </c>
      <c r="R71" s="1124"/>
      <c r="S71" s="1124"/>
      <c r="T71" s="1124"/>
      <c r="U71" s="1124"/>
      <c r="V71" s="1124"/>
      <c r="W71" s="1124">
        <f t="shared" ref="W71:W73" si="71">V71*(G71+H71)*F71</f>
        <v>0</v>
      </c>
      <c r="X71" s="1124"/>
      <c r="Y71" s="1124"/>
      <c r="Z71" s="1124"/>
      <c r="AA71" s="1149">
        <f t="shared" ref="AA71:AA73" si="72">S71+U71+W71+Y71+Z71</f>
        <v>0</v>
      </c>
      <c r="AB71" s="1149">
        <f t="shared" ref="AB71:AB73" si="73">Q71+AA71</f>
        <v>6466125</v>
      </c>
    </row>
    <row r="72" spans="1:29" ht="131.25">
      <c r="A72" s="1124">
        <v>44</v>
      </c>
      <c r="B72" s="1138">
        <v>2</v>
      </c>
      <c r="C72" s="1158" t="s">
        <v>1108</v>
      </c>
      <c r="D72" s="1132" t="s">
        <v>1341</v>
      </c>
      <c r="E72" s="1127" t="s">
        <v>1440</v>
      </c>
      <c r="F72" s="1127">
        <v>18</v>
      </c>
      <c r="G72" s="1129">
        <v>15</v>
      </c>
      <c r="H72" s="1159"/>
      <c r="I72" s="1127">
        <v>12000</v>
      </c>
      <c r="J72" s="1129">
        <f t="shared" si="67"/>
        <v>3240000</v>
      </c>
      <c r="K72" s="1149">
        <f>2.5*4335</f>
        <v>10837.5</v>
      </c>
      <c r="L72" s="1127">
        <f t="shared" si="68"/>
        <v>2926125</v>
      </c>
      <c r="M72" s="1124">
        <f>2*4335</f>
        <v>8670</v>
      </c>
      <c r="N72" s="1124">
        <f t="shared" si="69"/>
        <v>0</v>
      </c>
      <c r="O72" s="1124">
        <v>10000</v>
      </c>
      <c r="P72" s="1124">
        <f>O72*(H72+G72)*2</f>
        <v>300000</v>
      </c>
      <c r="Q72" s="1124">
        <f t="shared" si="70"/>
        <v>6466125</v>
      </c>
      <c r="R72" s="1130"/>
      <c r="S72" s="1131"/>
      <c r="T72" s="1132"/>
      <c r="U72" s="1131"/>
      <c r="V72" s="1132"/>
      <c r="W72" s="1131">
        <f t="shared" si="71"/>
        <v>0</v>
      </c>
      <c r="X72" s="1132"/>
      <c r="Y72" s="1131"/>
      <c r="Z72" s="1132"/>
      <c r="AA72" s="1135">
        <f t="shared" si="72"/>
        <v>0</v>
      </c>
      <c r="AB72" s="1149">
        <f t="shared" si="73"/>
        <v>6466125</v>
      </c>
    </row>
    <row r="73" spans="1:29" ht="56.25">
      <c r="A73" s="1124">
        <v>45</v>
      </c>
      <c r="B73" s="1138">
        <v>3</v>
      </c>
      <c r="C73" s="1136" t="s">
        <v>1350</v>
      </c>
      <c r="D73" s="1132" t="s">
        <v>1318</v>
      </c>
      <c r="E73" s="1127" t="s">
        <v>1351</v>
      </c>
      <c r="F73" s="1159">
        <v>6</v>
      </c>
      <c r="G73" s="1129">
        <v>15</v>
      </c>
      <c r="H73" s="1159"/>
      <c r="I73" s="1127"/>
      <c r="J73" s="1137"/>
      <c r="K73" s="1127"/>
      <c r="L73" s="1131"/>
      <c r="M73" s="1138"/>
      <c r="N73" s="1138"/>
      <c r="O73" s="1124"/>
      <c r="P73" s="1124"/>
      <c r="Q73" s="1138">
        <f t="shared" si="70"/>
        <v>0</v>
      </c>
      <c r="R73" s="1130">
        <f>80*$AB$4</f>
        <v>36037.600000000006</v>
      </c>
      <c r="S73" s="1131">
        <f>R73*F73*(G73+H73)</f>
        <v>3243384.0000000005</v>
      </c>
      <c r="T73" s="1130">
        <v>26000</v>
      </c>
      <c r="U73" s="1131">
        <f>T73*F73*(G73+H73)</f>
        <v>2340000</v>
      </c>
      <c r="V73" s="1132">
        <v>1889</v>
      </c>
      <c r="W73" s="1131">
        <f t="shared" si="71"/>
        <v>170010</v>
      </c>
      <c r="X73" s="1132">
        <v>690422</v>
      </c>
      <c r="Y73" s="1131">
        <f>X73*(G73+H73)</f>
        <v>10356330</v>
      </c>
      <c r="Z73" s="1130">
        <f>80*$AB$5*(G73+H73)</f>
        <v>586572</v>
      </c>
      <c r="AA73" s="1135">
        <f t="shared" si="72"/>
        <v>16696296</v>
      </c>
      <c r="AB73" s="1149">
        <f t="shared" si="73"/>
        <v>16696296</v>
      </c>
    </row>
    <row r="74" spans="1:29">
      <c r="A74" s="1807" t="s">
        <v>38</v>
      </c>
      <c r="B74" s="1807"/>
      <c r="C74" s="1807"/>
      <c r="D74" s="1807"/>
      <c r="E74" s="1807"/>
      <c r="F74" s="1807"/>
      <c r="G74" s="1807"/>
      <c r="H74" s="1144"/>
      <c r="I74" s="1145"/>
      <c r="J74" s="1145">
        <f>SUM(J71:J73)</f>
        <v>6480000</v>
      </c>
      <c r="K74" s="1145"/>
      <c r="L74" s="1145">
        <f>SUM(L71:L73)</f>
        <v>5852250</v>
      </c>
      <c r="M74" s="1145"/>
      <c r="N74" s="1145">
        <f>SUM(N71:N73)</f>
        <v>0</v>
      </c>
      <c r="O74" s="1213"/>
      <c r="P74" s="1145">
        <f>SUM(P71:P73)</f>
        <v>600000</v>
      </c>
      <c r="Q74" s="1145">
        <f>SUM(Q71:Q73)</f>
        <v>12932250</v>
      </c>
      <c r="R74" s="1213"/>
      <c r="S74" s="1145">
        <f>SUM(S71:S73)</f>
        <v>3243384.0000000005</v>
      </c>
      <c r="T74" s="1213"/>
      <c r="U74" s="1145">
        <f>SUM(U71:U73)</f>
        <v>2340000</v>
      </c>
      <c r="V74" s="1213"/>
      <c r="W74" s="1145">
        <f>SUM(W71:W73)</f>
        <v>170010</v>
      </c>
      <c r="X74" s="1213"/>
      <c r="Y74" s="1145">
        <f>SUM(Y71:Y73)</f>
        <v>10356330</v>
      </c>
      <c r="Z74" s="1145">
        <f>SUM(Z71:Z73)</f>
        <v>586572</v>
      </c>
      <c r="AA74" s="1145">
        <f>SUM(AA71:AA73)</f>
        <v>16696296</v>
      </c>
      <c r="AB74" s="1145">
        <f>SUM(AB71:AB73)</f>
        <v>29628546</v>
      </c>
      <c r="AC74" s="1120">
        <f>AB74-AA74-Q74</f>
        <v>0</v>
      </c>
    </row>
    <row r="75" spans="1:29">
      <c r="A75" s="1819" t="s">
        <v>1352</v>
      </c>
      <c r="B75" s="1820"/>
      <c r="C75" s="1820"/>
      <c r="D75" s="1820"/>
      <c r="E75" s="1820"/>
      <c r="F75" s="1820"/>
      <c r="G75" s="1820"/>
      <c r="H75" s="1820"/>
      <c r="I75" s="1805"/>
      <c r="J75" s="1805"/>
      <c r="K75" s="1805"/>
      <c r="L75" s="1805"/>
      <c r="M75" s="1805"/>
      <c r="N75" s="1805"/>
      <c r="O75" s="1805"/>
      <c r="P75" s="1805"/>
      <c r="Q75" s="1805"/>
      <c r="R75" s="1805"/>
      <c r="S75" s="1805"/>
      <c r="T75" s="1805"/>
      <c r="U75" s="1805"/>
      <c r="V75" s="1805"/>
      <c r="W75" s="1805"/>
      <c r="X75" s="1805"/>
      <c r="Y75" s="1805"/>
      <c r="Z75" s="1805"/>
      <c r="AA75" s="1805"/>
      <c r="AB75" s="1821"/>
    </row>
    <row r="76" spans="1:29" ht="56.25">
      <c r="A76" s="1149">
        <v>46</v>
      </c>
      <c r="B76" s="1173">
        <v>1</v>
      </c>
      <c r="C76" s="1174" t="s">
        <v>1353</v>
      </c>
      <c r="D76" s="1132" t="s">
        <v>1354</v>
      </c>
      <c r="E76" s="1132" t="s">
        <v>1355</v>
      </c>
      <c r="F76" s="1166">
        <v>5</v>
      </c>
      <c r="G76" s="1166">
        <v>10</v>
      </c>
      <c r="H76" s="1149"/>
      <c r="I76" s="1149"/>
      <c r="J76" s="1149"/>
      <c r="K76" s="1149"/>
      <c r="L76" s="1149"/>
      <c r="M76" s="1149"/>
      <c r="N76" s="1149"/>
      <c r="O76" s="1133"/>
      <c r="P76" s="1133"/>
      <c r="Q76" s="1149">
        <f t="shared" ref="Q76:Q78" si="74">SUM(J76+L76+N76+P76)</f>
        <v>0</v>
      </c>
      <c r="R76" s="1130">
        <f>80*$AB$4</f>
        <v>36037.600000000006</v>
      </c>
      <c r="S76" s="1127">
        <f>R76*F76*(G76+H76)</f>
        <v>1801880.0000000002</v>
      </c>
      <c r="T76" s="1130">
        <v>26000</v>
      </c>
      <c r="U76" s="1127">
        <f>T76*F76*(G76+H76)</f>
        <v>1300000</v>
      </c>
      <c r="V76" s="1133">
        <v>1889</v>
      </c>
      <c r="W76" s="1131">
        <f t="shared" ref="W76:W78" si="75">V76*(G76+H76)*F76</f>
        <v>94450</v>
      </c>
      <c r="X76" s="1133">
        <v>389563</v>
      </c>
      <c r="Y76" s="1131">
        <f>X76*(G76+H76)</f>
        <v>3895630</v>
      </c>
      <c r="Z76" s="1130">
        <f>80*$AB$5*(G76+H76)</f>
        <v>391048</v>
      </c>
      <c r="AA76" s="1135">
        <f t="shared" ref="AA76:AA78" si="76">S76+U76+W76+Y76+Z76</f>
        <v>7483008</v>
      </c>
      <c r="AB76" s="1149">
        <f t="shared" ref="AB76:AB78" si="77">AA76+Q76</f>
        <v>7483008</v>
      </c>
    </row>
    <row r="77" spans="1:29" ht="56.25">
      <c r="A77" s="1149">
        <v>47</v>
      </c>
      <c r="B77" s="1173">
        <v>2</v>
      </c>
      <c r="C77" s="1174" t="s">
        <v>1356</v>
      </c>
      <c r="D77" s="1132" t="s">
        <v>1357</v>
      </c>
      <c r="E77" s="1132" t="s">
        <v>1358</v>
      </c>
      <c r="F77" s="1166">
        <v>6</v>
      </c>
      <c r="G77" s="1166">
        <v>10</v>
      </c>
      <c r="H77" s="1149"/>
      <c r="I77" s="1149"/>
      <c r="J77" s="1149"/>
      <c r="K77" s="1149"/>
      <c r="L77" s="1149"/>
      <c r="M77" s="1149"/>
      <c r="N77" s="1149"/>
      <c r="O77" s="1133"/>
      <c r="P77" s="1133"/>
      <c r="Q77" s="1149">
        <f t="shared" si="74"/>
        <v>0</v>
      </c>
      <c r="R77" s="1130">
        <f>80*$AB$4</f>
        <v>36037.600000000006</v>
      </c>
      <c r="S77" s="1127">
        <f>R77*F77*(G77+H77)</f>
        <v>2162256.0000000005</v>
      </c>
      <c r="T77" s="1130">
        <v>26000</v>
      </c>
      <c r="U77" s="1127">
        <f>T77*F77*(G77+H77)</f>
        <v>1560000</v>
      </c>
      <c r="V77" s="1133">
        <v>1029</v>
      </c>
      <c r="W77" s="1133">
        <f t="shared" si="75"/>
        <v>61740</v>
      </c>
      <c r="X77" s="1133">
        <v>579472</v>
      </c>
      <c r="Y77" s="1133">
        <f>X77*(G77+H77)</f>
        <v>5794720</v>
      </c>
      <c r="Z77" s="1133"/>
      <c r="AA77" s="1135">
        <f t="shared" si="76"/>
        <v>9578716</v>
      </c>
      <c r="AB77" s="1149">
        <f t="shared" si="77"/>
        <v>9578716</v>
      </c>
    </row>
    <row r="78" spans="1:29" ht="37.5">
      <c r="A78" s="1149">
        <v>48</v>
      </c>
      <c r="B78" s="1173">
        <v>3</v>
      </c>
      <c r="C78" s="1126" t="s">
        <v>1359</v>
      </c>
      <c r="D78" s="1132" t="s">
        <v>1360</v>
      </c>
      <c r="E78" s="1132" t="s">
        <v>1361</v>
      </c>
      <c r="F78" s="1166">
        <v>14</v>
      </c>
      <c r="G78" s="1166">
        <v>10</v>
      </c>
      <c r="H78" s="1149"/>
      <c r="I78" s="1149"/>
      <c r="J78" s="1149"/>
      <c r="K78" s="1149"/>
      <c r="L78" s="1149"/>
      <c r="M78" s="1149"/>
      <c r="N78" s="1149"/>
      <c r="O78" s="1133"/>
      <c r="P78" s="1133"/>
      <c r="Q78" s="1149">
        <f t="shared" si="74"/>
        <v>0</v>
      </c>
      <c r="R78" s="1130">
        <f>80*$AB$4</f>
        <v>36037.600000000006</v>
      </c>
      <c r="S78" s="1127">
        <f>R78*F78*(G78+H78)</f>
        <v>5045264.0000000009</v>
      </c>
      <c r="T78" s="1130">
        <v>26000</v>
      </c>
      <c r="U78" s="1127">
        <f>T78*F78*(G78+H78)</f>
        <v>3640000</v>
      </c>
      <c r="V78" s="1133">
        <v>1029</v>
      </c>
      <c r="W78" s="1131">
        <f t="shared" si="75"/>
        <v>144060</v>
      </c>
      <c r="X78" s="1133">
        <v>505732</v>
      </c>
      <c r="Y78" s="1131">
        <f>X78*(G78+H78)</f>
        <v>5057320</v>
      </c>
      <c r="Z78" s="1130">
        <f>40*$AB$4</f>
        <v>18018.800000000003</v>
      </c>
      <c r="AA78" s="1135">
        <f t="shared" si="76"/>
        <v>13904662.800000001</v>
      </c>
      <c r="AB78" s="1149">
        <f t="shared" si="77"/>
        <v>13904662.800000001</v>
      </c>
    </row>
    <row r="79" spans="1:29">
      <c r="A79" s="1807" t="s">
        <v>38</v>
      </c>
      <c r="B79" s="1807"/>
      <c r="C79" s="1807"/>
      <c r="D79" s="1807"/>
      <c r="E79" s="1807"/>
      <c r="F79" s="1807"/>
      <c r="G79" s="1807"/>
      <c r="H79" s="1807"/>
      <c r="I79" s="1145"/>
      <c r="J79" s="1145">
        <f>SUM(J76:J78)</f>
        <v>0</v>
      </c>
      <c r="K79" s="1145"/>
      <c r="L79" s="1145">
        <f>SUM(L76:L78)</f>
        <v>0</v>
      </c>
      <c r="M79" s="1145"/>
      <c r="N79" s="1145">
        <f>SUM(N76:N78)</f>
        <v>0</v>
      </c>
      <c r="O79" s="1213"/>
      <c r="P79" s="1145">
        <f>SUM(P76:P78)</f>
        <v>0</v>
      </c>
      <c r="Q79" s="1145">
        <f>SUM(Q76:Q78)</f>
        <v>0</v>
      </c>
      <c r="R79" s="1213"/>
      <c r="S79" s="1145">
        <f>SUM(S76:S78)</f>
        <v>9009400.0000000019</v>
      </c>
      <c r="T79" s="1213"/>
      <c r="U79" s="1145">
        <f>SUM(U76:U78)</f>
        <v>6500000</v>
      </c>
      <c r="V79" s="1213"/>
      <c r="W79" s="1145">
        <f>SUM(W76:W78)</f>
        <v>300250</v>
      </c>
      <c r="X79" s="1213"/>
      <c r="Y79" s="1145">
        <f>SUM(Y76:Y78)</f>
        <v>14747670</v>
      </c>
      <c r="Z79" s="1145">
        <f>SUM(Z76:Z78)</f>
        <v>409066.8</v>
      </c>
      <c r="AA79" s="1145">
        <f>SUM(AA76:AA78)</f>
        <v>30966386.800000001</v>
      </c>
      <c r="AB79" s="1145">
        <f>SUM(AB76:AB78)</f>
        <v>30966386.800000001</v>
      </c>
      <c r="AC79" s="1146">
        <f>AB79-AA79-Q79</f>
        <v>0</v>
      </c>
    </row>
    <row r="80" spans="1:29">
      <c r="A80" s="1809" t="s">
        <v>1362</v>
      </c>
      <c r="B80" s="1809"/>
      <c r="C80" s="1809"/>
      <c r="D80" s="1809"/>
      <c r="E80" s="1809"/>
      <c r="F80" s="1809"/>
      <c r="G80" s="1809"/>
      <c r="H80" s="1809"/>
      <c r="I80" s="1810"/>
      <c r="J80" s="1810"/>
      <c r="K80" s="1810"/>
      <c r="L80" s="1810"/>
      <c r="M80" s="1810"/>
      <c r="N80" s="1810"/>
      <c r="O80" s="1810"/>
      <c r="P80" s="1810"/>
      <c r="Q80" s="1810"/>
      <c r="R80" s="1810"/>
      <c r="S80" s="1810"/>
      <c r="T80" s="1810"/>
      <c r="U80" s="1810"/>
      <c r="V80" s="1810"/>
      <c r="W80" s="1810"/>
      <c r="X80" s="1810"/>
      <c r="Y80" s="1810"/>
      <c r="Z80" s="1810"/>
      <c r="AA80" s="1810"/>
      <c r="AB80" s="1810"/>
    </row>
    <row r="81" spans="1:29" ht="126" customHeight="1">
      <c r="A81" s="1124">
        <v>49</v>
      </c>
      <c r="B81" s="1129">
        <v>1</v>
      </c>
      <c r="C81" s="1175" t="s">
        <v>1363</v>
      </c>
      <c r="D81" s="1149" t="s">
        <v>1364</v>
      </c>
      <c r="E81" s="1149" t="s">
        <v>1365</v>
      </c>
      <c r="F81" s="1166">
        <v>14</v>
      </c>
      <c r="G81" s="1166">
        <v>8</v>
      </c>
      <c r="H81" s="1149"/>
      <c r="I81" s="1127">
        <v>12000</v>
      </c>
      <c r="J81" s="1137">
        <f t="shared" ref="J81" si="78">(G81+H81)*I81*F81</f>
        <v>1344000</v>
      </c>
      <c r="K81" s="1149">
        <f>2.5*4335</f>
        <v>10837.5</v>
      </c>
      <c r="L81" s="1131">
        <f t="shared" ref="L81" si="79">K81*F81*G81</f>
        <v>1213800</v>
      </c>
      <c r="M81" s="1138">
        <f>2*4335</f>
        <v>8670</v>
      </c>
      <c r="N81" s="1138">
        <f t="shared" ref="N81" si="80">M81*H81*F81</f>
        <v>0</v>
      </c>
      <c r="O81" s="1133">
        <v>10000</v>
      </c>
      <c r="P81" s="1124">
        <f>O81*(H81+G81)*2</f>
        <v>160000</v>
      </c>
      <c r="Q81" s="1138">
        <f t="shared" ref="Q81:Q83" si="81">SUM(J81+L81+N81+P81)</f>
        <v>2717800</v>
      </c>
      <c r="R81" s="1149"/>
      <c r="S81" s="1127"/>
      <c r="T81" s="1166"/>
      <c r="U81" s="1127"/>
      <c r="V81" s="1133"/>
      <c r="W81" s="1127">
        <f t="shared" ref="W81:W83" si="82">V81*(G81+H81)*F81</f>
        <v>0</v>
      </c>
      <c r="X81" s="1133"/>
      <c r="Y81" s="1127"/>
      <c r="Z81" s="1133"/>
      <c r="AA81" s="1149"/>
      <c r="AB81" s="1135">
        <f t="shared" ref="AB81:AB83" si="83">AA81+Q81</f>
        <v>2717800</v>
      </c>
    </row>
    <row r="82" spans="1:29" ht="56.25">
      <c r="A82" s="1124">
        <v>50</v>
      </c>
      <c r="B82" s="1129">
        <v>2</v>
      </c>
      <c r="C82" s="1160" t="s">
        <v>1366</v>
      </c>
      <c r="D82" s="1132" t="s">
        <v>1367</v>
      </c>
      <c r="E82" s="1132" t="s">
        <v>389</v>
      </c>
      <c r="F82" s="1166">
        <v>6</v>
      </c>
      <c r="G82" s="1166">
        <v>8</v>
      </c>
      <c r="H82" s="1149"/>
      <c r="I82" s="1149"/>
      <c r="J82" s="1137"/>
      <c r="K82" s="1149"/>
      <c r="L82" s="1131"/>
      <c r="M82" s="1138"/>
      <c r="N82" s="1138"/>
      <c r="O82" s="1133"/>
      <c r="P82" s="1124"/>
      <c r="Q82" s="1138">
        <f t="shared" si="81"/>
        <v>0</v>
      </c>
      <c r="R82" s="1130">
        <f>80*$AB$4</f>
        <v>36037.600000000006</v>
      </c>
      <c r="S82" s="1131">
        <f>R82*F82*(G82+H82)</f>
        <v>1729804.8000000003</v>
      </c>
      <c r="T82" s="1130">
        <v>26000</v>
      </c>
      <c r="U82" s="1131">
        <f>T82*F82*(G82+H82)</f>
        <v>1248000</v>
      </c>
      <c r="V82" s="1133">
        <v>1889</v>
      </c>
      <c r="W82" s="1131">
        <f t="shared" si="82"/>
        <v>90672</v>
      </c>
      <c r="X82" s="1130">
        <v>685846</v>
      </c>
      <c r="Y82" s="1131">
        <f>X82*(G82+H82)</f>
        <v>5486768</v>
      </c>
      <c r="Z82" s="1130">
        <f>80*$AB$5*(G82+H82)</f>
        <v>312838.40000000002</v>
      </c>
      <c r="AA82" s="1135">
        <f t="shared" ref="AA82:AA83" si="84">S82+U82+W82+Y82+Z82</f>
        <v>8868083.2000000011</v>
      </c>
      <c r="AB82" s="1135">
        <f t="shared" si="83"/>
        <v>8868083.2000000011</v>
      </c>
    </row>
    <row r="83" spans="1:29" ht="131.25">
      <c r="A83" s="1124">
        <v>51</v>
      </c>
      <c r="B83" s="1129">
        <v>3</v>
      </c>
      <c r="C83" s="1175" t="s">
        <v>1368</v>
      </c>
      <c r="D83" s="1132" t="s">
        <v>1369</v>
      </c>
      <c r="E83" s="1132" t="s">
        <v>1370</v>
      </c>
      <c r="F83" s="1166">
        <v>14</v>
      </c>
      <c r="G83" s="1166">
        <v>8</v>
      </c>
      <c r="H83" s="1149"/>
      <c r="I83" s="1149"/>
      <c r="J83" s="1149"/>
      <c r="K83" s="1149"/>
      <c r="L83" s="1149"/>
      <c r="M83" s="1149"/>
      <c r="N83" s="1149"/>
      <c r="O83" s="1133"/>
      <c r="P83" s="1133"/>
      <c r="Q83" s="1149">
        <f t="shared" si="81"/>
        <v>0</v>
      </c>
      <c r="R83" s="1130">
        <f>80*$AB$4</f>
        <v>36037.600000000006</v>
      </c>
      <c r="S83" s="1131">
        <f>R83*F83*(G83+H83)</f>
        <v>4036211.2000000007</v>
      </c>
      <c r="T83" s="1130">
        <v>26661</v>
      </c>
      <c r="U83" s="1131">
        <f>T83*F83*(G83+H83)</f>
        <v>2986032</v>
      </c>
      <c r="V83" s="1133">
        <v>1029</v>
      </c>
      <c r="W83" s="1131">
        <f t="shared" si="82"/>
        <v>115248</v>
      </c>
      <c r="X83" s="1133">
        <v>505732</v>
      </c>
      <c r="Y83" s="1131">
        <f>X83*(G83+H83)</f>
        <v>4045856</v>
      </c>
      <c r="Z83" s="1130">
        <f>40*$AB$4</f>
        <v>18018.800000000003</v>
      </c>
      <c r="AA83" s="1135">
        <f t="shared" si="84"/>
        <v>11201366.000000002</v>
      </c>
      <c r="AB83" s="1135">
        <f t="shared" si="83"/>
        <v>11201366.000000002</v>
      </c>
    </row>
    <row r="84" spans="1:29">
      <c r="A84" s="1807" t="s">
        <v>38</v>
      </c>
      <c r="B84" s="1807"/>
      <c r="C84" s="1807"/>
      <c r="D84" s="1807"/>
      <c r="E84" s="1807"/>
      <c r="F84" s="1807"/>
      <c r="G84" s="1807"/>
      <c r="H84" s="1807"/>
      <c r="I84" s="1144"/>
      <c r="J84" s="1144">
        <f>SUM(J81:J83)</f>
        <v>1344000</v>
      </c>
      <c r="K84" s="1144"/>
      <c r="L84" s="1144">
        <f>SUM(L81:L83)</f>
        <v>1213800</v>
      </c>
      <c r="M84" s="1144"/>
      <c r="N84" s="1144">
        <f>SUM(N81:N83)</f>
        <v>0</v>
      </c>
      <c r="O84" s="1144"/>
      <c r="P84" s="1144">
        <f>SUM(P81:P83)</f>
        <v>160000</v>
      </c>
      <c r="Q84" s="1144">
        <f>SUM(Q81:Q83)</f>
        <v>2717800</v>
      </c>
      <c r="R84" s="1144"/>
      <c r="S84" s="1144">
        <f>SUM(S81:S83)</f>
        <v>5766016.0000000009</v>
      </c>
      <c r="T84" s="1144"/>
      <c r="U84" s="1144">
        <f>SUM(U81:U83)</f>
        <v>4234032</v>
      </c>
      <c r="V84" s="1144"/>
      <c r="W84" s="1144">
        <f>SUM(W81:W83)</f>
        <v>205920</v>
      </c>
      <c r="X84" s="1144"/>
      <c r="Y84" s="1144">
        <f>SUM(Y81:Y83)</f>
        <v>9532624</v>
      </c>
      <c r="Z84" s="1144">
        <f>SUM(Z81:Z83)</f>
        <v>330857.2</v>
      </c>
      <c r="AA84" s="1144">
        <f>SUM(AA81:AA83)</f>
        <v>20069449.200000003</v>
      </c>
      <c r="AB84" s="1144">
        <f>SUM(AB81:AB83)</f>
        <v>22787249.200000003</v>
      </c>
      <c r="AC84" s="1146">
        <f>AB84-AA84-Q84</f>
        <v>0</v>
      </c>
    </row>
    <row r="85" spans="1:29">
      <c r="A85" s="1822" t="s">
        <v>1152</v>
      </c>
      <c r="B85" s="1823"/>
      <c r="C85" s="1823"/>
      <c r="D85" s="1823"/>
      <c r="E85" s="1824"/>
      <c r="F85" s="1176"/>
      <c r="G85" s="1176"/>
      <c r="H85" s="1176"/>
      <c r="I85" s="1176"/>
      <c r="J85" s="1177">
        <f>J50+J44+J57+J64+J79+J84+J74+J69+J15+J21+J37+J29</f>
        <v>33408000</v>
      </c>
      <c r="K85" s="1177"/>
      <c r="L85" s="1177">
        <f>L50+L44+L57+L64+L79+L84+L74+L69+L15+L21+L37+L29</f>
        <v>30496725</v>
      </c>
      <c r="M85" s="1177"/>
      <c r="N85" s="1177">
        <f>N50+N44+N57+N64+N79+N84+N74+N69+N15+N21+N37+N29</f>
        <v>0</v>
      </c>
      <c r="O85" s="1177"/>
      <c r="P85" s="1177">
        <f>P50+P44+P57+P64+P79+P84+P74+P69+P15+P21+P37+P29</f>
        <v>3920000</v>
      </c>
      <c r="Q85" s="1177">
        <f>Q50+Q44+Q57+Q64+Q79+Q84+Q74+Q69+Q15+Q21+Q37+Q29</f>
        <v>67824725</v>
      </c>
      <c r="R85" s="1177"/>
      <c r="S85" s="1177">
        <f>S50+S44+S57+S64+S79+S84+S74+S69+S15+S21+S37+S29</f>
        <v>87679480.800000012</v>
      </c>
      <c r="T85" s="1177"/>
      <c r="U85" s="1177">
        <f>U50+U44+U57+U64+U79+U84+U74+U69+U15+U21+U37+U29</f>
        <v>63752032</v>
      </c>
      <c r="V85" s="1177"/>
      <c r="W85" s="1177">
        <f>W50+W44+W57+W64+W79+W84+W74+W69+W15+W21+W37+W29</f>
        <v>3150313</v>
      </c>
      <c r="X85" s="1177"/>
      <c r="Y85" s="1177">
        <f>Y50+Y44+Y57+Y64+Y79+Y84+Y74+Y69+Y15+Y21+Y37+Y29</f>
        <v>156647007</v>
      </c>
      <c r="Z85" s="1177">
        <f>Z50+Z44+Z57+Z64+Z79+Z84+Z74+Z69+Z15+Z21+Z37+Z29</f>
        <v>6049405.6500000004</v>
      </c>
      <c r="AA85" s="1177">
        <f>AA50+AA44+AA57+AA64+AA79+AA84+AA74+AA69+AA15+AA21+AA37+AA29</f>
        <v>317278238.44999999</v>
      </c>
      <c r="AB85" s="1177">
        <f>AB50+AB44+AB57+AB64+AB79+AB84+AB74+AB69+AB15+AB21+AB37+AB29</f>
        <v>385102963.44999999</v>
      </c>
    </row>
    <row r="87" spans="1:29" ht="21">
      <c r="I87" s="1368"/>
      <c r="J87" s="1368"/>
      <c r="K87" s="1368"/>
      <c r="L87" s="1368"/>
      <c r="M87" s="1368"/>
      <c r="N87" s="1368"/>
      <c r="O87" s="1368"/>
      <c r="P87" s="1368"/>
      <c r="Q87" s="1368"/>
      <c r="R87" s="1368"/>
      <c r="S87" s="1368"/>
      <c r="AB87" s="1146"/>
    </row>
    <row r="88" spans="1:29" ht="21">
      <c r="I88" s="1369" t="s">
        <v>640</v>
      </c>
      <c r="J88" s="1368"/>
      <c r="K88" s="1368"/>
      <c r="L88" s="1368"/>
      <c r="M88" s="1368"/>
      <c r="N88" s="1368"/>
      <c r="O88" s="1368"/>
      <c r="P88" s="1368"/>
      <c r="Q88" s="1368"/>
      <c r="R88" s="1369" t="s">
        <v>1167</v>
      </c>
      <c r="S88" s="1368"/>
    </row>
    <row r="89" spans="1:29" ht="21">
      <c r="A89" s="674"/>
      <c r="B89" s="674"/>
      <c r="C89" s="674"/>
      <c r="D89" s="1212"/>
      <c r="F89" s="917"/>
      <c r="G89" s="674"/>
      <c r="H89" s="674"/>
      <c r="I89" s="1369"/>
      <c r="J89" s="1369"/>
      <c r="K89" s="1370"/>
      <c r="L89" s="1369"/>
      <c r="M89" s="1368"/>
      <c r="N89" s="1368"/>
      <c r="O89" s="1368"/>
      <c r="P89" s="1368"/>
      <c r="Q89" s="1368"/>
      <c r="R89" s="1369"/>
      <c r="S89" s="1368"/>
      <c r="Y89" s="1146"/>
      <c r="AB89" s="1146"/>
    </row>
    <row r="90" spans="1:29" ht="21">
      <c r="A90" s="674"/>
      <c r="B90" s="674"/>
      <c r="C90" s="674"/>
      <c r="D90" s="1212"/>
      <c r="E90" s="916"/>
      <c r="F90" s="917"/>
      <c r="G90" s="674"/>
      <c r="H90" s="674"/>
      <c r="I90" s="1369"/>
      <c r="J90" s="1371"/>
      <c r="K90" s="1370"/>
      <c r="L90" s="1371"/>
      <c r="M90" s="1368"/>
      <c r="N90" s="1368"/>
      <c r="O90" s="1368"/>
      <c r="P90" s="1368"/>
      <c r="Q90" s="1368"/>
      <c r="R90" s="1369"/>
      <c r="S90" s="1368"/>
      <c r="AB90" s="1146"/>
    </row>
    <row r="91" spans="1:29" ht="21">
      <c r="A91" s="674"/>
      <c r="B91" s="674"/>
      <c r="C91" s="674"/>
      <c r="D91" s="1212"/>
      <c r="E91" s="916"/>
      <c r="F91" s="917"/>
      <c r="G91" s="674"/>
      <c r="H91" s="674"/>
      <c r="I91" s="1369" t="s">
        <v>1166</v>
      </c>
      <c r="J91" s="1369"/>
      <c r="K91" s="1370"/>
      <c r="L91" s="1369"/>
      <c r="M91" s="1368"/>
      <c r="N91" s="1368"/>
      <c r="O91" s="1368"/>
      <c r="P91" s="1368"/>
      <c r="Q91" s="1368"/>
      <c r="R91" s="1369" t="s">
        <v>1168</v>
      </c>
      <c r="S91" s="1368"/>
      <c r="AB91" s="1146"/>
    </row>
    <row r="92" spans="1:29" ht="21">
      <c r="E92" s="916"/>
      <c r="I92" s="1368"/>
      <c r="J92" s="1368"/>
      <c r="K92" s="1368"/>
      <c r="L92" s="1368"/>
      <c r="M92" s="1368"/>
      <c r="N92" s="1368"/>
      <c r="O92" s="1368"/>
      <c r="P92" s="1368"/>
      <c r="Q92" s="1368"/>
      <c r="R92" s="1368"/>
      <c r="S92" s="1368"/>
    </row>
  </sheetData>
  <mergeCells count="47">
    <mergeCell ref="A85:E85"/>
    <mergeCell ref="A70:AB70"/>
    <mergeCell ref="A74:G74"/>
    <mergeCell ref="A75:AB75"/>
    <mergeCell ref="A79:H79"/>
    <mergeCell ref="A80:AB80"/>
    <mergeCell ref="A84:H84"/>
    <mergeCell ref="A69:H69"/>
    <mergeCell ref="A30:AB30"/>
    <mergeCell ref="A37:E37"/>
    <mergeCell ref="A38:AB38"/>
    <mergeCell ref="A44:H44"/>
    <mergeCell ref="A45:AB45"/>
    <mergeCell ref="A50:H50"/>
    <mergeCell ref="A51:AB51"/>
    <mergeCell ref="A57:H57"/>
    <mergeCell ref="A58:AB58"/>
    <mergeCell ref="A64:H64"/>
    <mergeCell ref="A65:AB65"/>
    <mergeCell ref="A29:H29"/>
    <mergeCell ref="R8:S8"/>
    <mergeCell ref="T8:U8"/>
    <mergeCell ref="V8:W8"/>
    <mergeCell ref="X8:Y8"/>
    <mergeCell ref="A7:A9"/>
    <mergeCell ref="B7:B9"/>
    <mergeCell ref="C7:C9"/>
    <mergeCell ref="D7:D9"/>
    <mergeCell ref="E7:E9"/>
    <mergeCell ref="F7:F9"/>
    <mergeCell ref="A10:AB10"/>
    <mergeCell ref="B15:E15"/>
    <mergeCell ref="A16:AB16"/>
    <mergeCell ref="A21:H21"/>
    <mergeCell ref="A22:AB22"/>
    <mergeCell ref="G7:G9"/>
    <mergeCell ref="H7:H9"/>
    <mergeCell ref="I7:P7"/>
    <mergeCell ref="Q7:Q9"/>
    <mergeCell ref="R7:AA7"/>
    <mergeCell ref="AB7:AB9"/>
    <mergeCell ref="I8:J8"/>
    <mergeCell ref="K8:L8"/>
    <mergeCell ref="M8:N8"/>
    <mergeCell ref="O8:P8"/>
    <mergeCell ref="Z8:Z9"/>
    <mergeCell ref="AA8:AA9"/>
  </mergeCells>
  <pageMargins left="0.31496062992125984" right="0.31496062992125984" top="0.35433070866141736" bottom="0.35433070866141736" header="0.31496062992125984" footer="0.31496062992125984"/>
  <pageSetup paperSize="9" scale="3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M50"/>
  <sheetViews>
    <sheetView view="pageBreakPreview" topLeftCell="A22" zoomScale="90" zoomScaleNormal="75" zoomScaleSheetLayoutView="90" workbookViewId="0">
      <selection activeCell="D36" sqref="D36"/>
    </sheetView>
  </sheetViews>
  <sheetFormatPr defaultRowHeight="15.75"/>
  <cols>
    <col min="1" max="1" width="6.42578125" style="1298" customWidth="1"/>
    <col min="2" max="2" width="65.28515625" style="1298" customWidth="1"/>
    <col min="3" max="6" width="23.42578125" style="1185" customWidth="1"/>
    <col min="7" max="7" width="19.28515625" style="1298" bestFit="1" customWidth="1"/>
    <col min="8" max="8" width="15.140625" style="1298" customWidth="1"/>
    <col min="9" max="9" width="20.5703125" style="1298" customWidth="1"/>
    <col min="10" max="10" width="9.140625" style="1298"/>
    <col min="11" max="11" width="19.85546875" style="1298" customWidth="1"/>
    <col min="12" max="12" width="9.140625" style="1298"/>
    <col min="13" max="13" width="18.7109375" style="1298" customWidth="1"/>
    <col min="14" max="228" width="9.140625" style="1298"/>
    <col min="229" max="229" width="6.42578125" style="1298" customWidth="1"/>
    <col min="230" max="230" width="60.28515625" style="1298" customWidth="1"/>
    <col min="231" max="231" width="19.42578125" style="1298" customWidth="1"/>
    <col min="232" max="484" width="9.140625" style="1298"/>
    <col min="485" max="485" width="6.42578125" style="1298" customWidth="1"/>
    <col min="486" max="486" width="60.28515625" style="1298" customWidth="1"/>
    <col min="487" max="487" width="19.42578125" style="1298" customWidth="1"/>
    <col min="488" max="740" width="9.140625" style="1298"/>
    <col min="741" max="741" width="6.42578125" style="1298" customWidth="1"/>
    <col min="742" max="742" width="60.28515625" style="1298" customWidth="1"/>
    <col min="743" max="743" width="19.42578125" style="1298" customWidth="1"/>
    <col min="744" max="996" width="9.140625" style="1298"/>
    <col min="997" max="997" width="6.42578125" style="1298" customWidth="1"/>
    <col min="998" max="998" width="60.28515625" style="1298" customWidth="1"/>
    <col min="999" max="999" width="19.42578125" style="1298" customWidth="1"/>
    <col min="1000" max="1252" width="9.140625" style="1298"/>
    <col min="1253" max="1253" width="6.42578125" style="1298" customWidth="1"/>
    <col min="1254" max="1254" width="60.28515625" style="1298" customWidth="1"/>
    <col min="1255" max="1255" width="19.42578125" style="1298" customWidth="1"/>
    <col min="1256" max="1508" width="9.140625" style="1298"/>
    <col min="1509" max="1509" width="6.42578125" style="1298" customWidth="1"/>
    <col min="1510" max="1510" width="60.28515625" style="1298" customWidth="1"/>
    <col min="1511" max="1511" width="19.42578125" style="1298" customWidth="1"/>
    <col min="1512" max="1764" width="9.140625" style="1298"/>
    <col min="1765" max="1765" width="6.42578125" style="1298" customWidth="1"/>
    <col min="1766" max="1766" width="60.28515625" style="1298" customWidth="1"/>
    <col min="1767" max="1767" width="19.42578125" style="1298" customWidth="1"/>
    <col min="1768" max="2020" width="9.140625" style="1298"/>
    <col min="2021" max="2021" width="6.42578125" style="1298" customWidth="1"/>
    <col min="2022" max="2022" width="60.28515625" style="1298" customWidth="1"/>
    <col min="2023" max="2023" width="19.42578125" style="1298" customWidth="1"/>
    <col min="2024" max="2276" width="9.140625" style="1298"/>
    <col min="2277" max="2277" width="6.42578125" style="1298" customWidth="1"/>
    <col min="2278" max="2278" width="60.28515625" style="1298" customWidth="1"/>
    <col min="2279" max="2279" width="19.42578125" style="1298" customWidth="1"/>
    <col min="2280" max="2532" width="9.140625" style="1298"/>
    <col min="2533" max="2533" width="6.42578125" style="1298" customWidth="1"/>
    <col min="2534" max="2534" width="60.28515625" style="1298" customWidth="1"/>
    <col min="2535" max="2535" width="19.42578125" style="1298" customWidth="1"/>
    <col min="2536" max="2788" width="9.140625" style="1298"/>
    <col min="2789" max="2789" width="6.42578125" style="1298" customWidth="1"/>
    <col min="2790" max="2790" width="60.28515625" style="1298" customWidth="1"/>
    <col min="2791" max="2791" width="19.42578125" style="1298" customWidth="1"/>
    <col min="2792" max="3044" width="9.140625" style="1298"/>
    <col min="3045" max="3045" width="6.42578125" style="1298" customWidth="1"/>
    <col min="3046" max="3046" width="60.28515625" style="1298" customWidth="1"/>
    <col min="3047" max="3047" width="19.42578125" style="1298" customWidth="1"/>
    <col min="3048" max="3300" width="9.140625" style="1298"/>
    <col min="3301" max="3301" width="6.42578125" style="1298" customWidth="1"/>
    <col min="3302" max="3302" width="60.28515625" style="1298" customWidth="1"/>
    <col min="3303" max="3303" width="19.42578125" style="1298" customWidth="1"/>
    <col min="3304" max="3556" width="9.140625" style="1298"/>
    <col min="3557" max="3557" width="6.42578125" style="1298" customWidth="1"/>
    <col min="3558" max="3558" width="60.28515625" style="1298" customWidth="1"/>
    <col min="3559" max="3559" width="19.42578125" style="1298" customWidth="1"/>
    <col min="3560" max="3812" width="9.140625" style="1298"/>
    <col min="3813" max="3813" width="6.42578125" style="1298" customWidth="1"/>
    <col min="3814" max="3814" width="60.28515625" style="1298" customWidth="1"/>
    <col min="3815" max="3815" width="19.42578125" style="1298" customWidth="1"/>
    <col min="3816" max="4068" width="9.140625" style="1298"/>
    <col min="4069" max="4069" width="6.42578125" style="1298" customWidth="1"/>
    <col min="4070" max="4070" width="60.28515625" style="1298" customWidth="1"/>
    <col min="4071" max="4071" width="19.42578125" style="1298" customWidth="1"/>
    <col min="4072" max="4324" width="9.140625" style="1298"/>
    <col min="4325" max="4325" width="6.42578125" style="1298" customWidth="1"/>
    <col min="4326" max="4326" width="60.28515625" style="1298" customWidth="1"/>
    <col min="4327" max="4327" width="19.42578125" style="1298" customWidth="1"/>
    <col min="4328" max="4580" width="9.140625" style="1298"/>
    <col min="4581" max="4581" width="6.42578125" style="1298" customWidth="1"/>
    <col min="4582" max="4582" width="60.28515625" style="1298" customWidth="1"/>
    <col min="4583" max="4583" width="19.42578125" style="1298" customWidth="1"/>
    <col min="4584" max="4836" width="9.140625" style="1298"/>
    <col min="4837" max="4837" width="6.42578125" style="1298" customWidth="1"/>
    <col min="4838" max="4838" width="60.28515625" style="1298" customWidth="1"/>
    <col min="4839" max="4839" width="19.42578125" style="1298" customWidth="1"/>
    <col min="4840" max="5092" width="9.140625" style="1298"/>
    <col min="5093" max="5093" width="6.42578125" style="1298" customWidth="1"/>
    <col min="5094" max="5094" width="60.28515625" style="1298" customWidth="1"/>
    <col min="5095" max="5095" width="19.42578125" style="1298" customWidth="1"/>
    <col min="5096" max="5348" width="9.140625" style="1298"/>
    <col min="5349" max="5349" width="6.42578125" style="1298" customWidth="1"/>
    <col min="5350" max="5350" width="60.28515625" style="1298" customWidth="1"/>
    <col min="5351" max="5351" width="19.42578125" style="1298" customWidth="1"/>
    <col min="5352" max="5604" width="9.140625" style="1298"/>
    <col min="5605" max="5605" width="6.42578125" style="1298" customWidth="1"/>
    <col min="5606" max="5606" width="60.28515625" style="1298" customWidth="1"/>
    <col min="5607" max="5607" width="19.42578125" style="1298" customWidth="1"/>
    <col min="5608" max="5860" width="9.140625" style="1298"/>
    <col min="5861" max="5861" width="6.42578125" style="1298" customWidth="1"/>
    <col min="5862" max="5862" width="60.28515625" style="1298" customWidth="1"/>
    <col min="5863" max="5863" width="19.42578125" style="1298" customWidth="1"/>
    <col min="5864" max="6116" width="9.140625" style="1298"/>
    <col min="6117" max="6117" width="6.42578125" style="1298" customWidth="1"/>
    <col min="6118" max="6118" width="60.28515625" style="1298" customWidth="1"/>
    <col min="6119" max="6119" width="19.42578125" style="1298" customWidth="1"/>
    <col min="6120" max="6372" width="9.140625" style="1298"/>
    <col min="6373" max="6373" width="6.42578125" style="1298" customWidth="1"/>
    <col min="6374" max="6374" width="60.28515625" style="1298" customWidth="1"/>
    <col min="6375" max="6375" width="19.42578125" style="1298" customWidth="1"/>
    <col min="6376" max="6628" width="9.140625" style="1298"/>
    <col min="6629" max="6629" width="6.42578125" style="1298" customWidth="1"/>
    <col min="6630" max="6630" width="60.28515625" style="1298" customWidth="1"/>
    <col min="6631" max="6631" width="19.42578125" style="1298" customWidth="1"/>
    <col min="6632" max="6884" width="9.140625" style="1298"/>
    <col min="6885" max="6885" width="6.42578125" style="1298" customWidth="1"/>
    <col min="6886" max="6886" width="60.28515625" style="1298" customWidth="1"/>
    <col min="6887" max="6887" width="19.42578125" style="1298" customWidth="1"/>
    <col min="6888" max="7140" width="9.140625" style="1298"/>
    <col min="7141" max="7141" width="6.42578125" style="1298" customWidth="1"/>
    <col min="7142" max="7142" width="60.28515625" style="1298" customWidth="1"/>
    <col min="7143" max="7143" width="19.42578125" style="1298" customWidth="1"/>
    <col min="7144" max="7396" width="9.140625" style="1298"/>
    <col min="7397" max="7397" width="6.42578125" style="1298" customWidth="1"/>
    <col min="7398" max="7398" width="60.28515625" style="1298" customWidth="1"/>
    <col min="7399" max="7399" width="19.42578125" style="1298" customWidth="1"/>
    <col min="7400" max="7652" width="9.140625" style="1298"/>
    <col min="7653" max="7653" width="6.42578125" style="1298" customWidth="1"/>
    <col min="7654" max="7654" width="60.28515625" style="1298" customWidth="1"/>
    <col min="7655" max="7655" width="19.42578125" style="1298" customWidth="1"/>
    <col min="7656" max="7908" width="9.140625" style="1298"/>
    <col min="7909" max="7909" width="6.42578125" style="1298" customWidth="1"/>
    <col min="7910" max="7910" width="60.28515625" style="1298" customWidth="1"/>
    <col min="7911" max="7911" width="19.42578125" style="1298" customWidth="1"/>
    <col min="7912" max="8164" width="9.140625" style="1298"/>
    <col min="8165" max="8165" width="6.42578125" style="1298" customWidth="1"/>
    <col min="8166" max="8166" width="60.28515625" style="1298" customWidth="1"/>
    <col min="8167" max="8167" width="19.42578125" style="1298" customWidth="1"/>
    <col min="8168" max="8420" width="9.140625" style="1298"/>
    <col min="8421" max="8421" width="6.42578125" style="1298" customWidth="1"/>
    <col min="8422" max="8422" width="60.28515625" style="1298" customWidth="1"/>
    <col min="8423" max="8423" width="19.42578125" style="1298" customWidth="1"/>
    <col min="8424" max="8676" width="9.140625" style="1298"/>
    <col min="8677" max="8677" width="6.42578125" style="1298" customWidth="1"/>
    <col min="8678" max="8678" width="60.28515625" style="1298" customWidth="1"/>
    <col min="8679" max="8679" width="19.42578125" style="1298" customWidth="1"/>
    <col min="8680" max="8932" width="9.140625" style="1298"/>
    <col min="8933" max="8933" width="6.42578125" style="1298" customWidth="1"/>
    <col min="8934" max="8934" width="60.28515625" style="1298" customWidth="1"/>
    <col min="8935" max="8935" width="19.42578125" style="1298" customWidth="1"/>
    <col min="8936" max="9188" width="9.140625" style="1298"/>
    <col min="9189" max="9189" width="6.42578125" style="1298" customWidth="1"/>
    <col min="9190" max="9190" width="60.28515625" style="1298" customWidth="1"/>
    <col min="9191" max="9191" width="19.42578125" style="1298" customWidth="1"/>
    <col min="9192" max="9444" width="9.140625" style="1298"/>
    <col min="9445" max="9445" width="6.42578125" style="1298" customWidth="1"/>
    <col min="9446" max="9446" width="60.28515625" style="1298" customWidth="1"/>
    <col min="9447" max="9447" width="19.42578125" style="1298" customWidth="1"/>
    <col min="9448" max="9700" width="9.140625" style="1298"/>
    <col min="9701" max="9701" width="6.42578125" style="1298" customWidth="1"/>
    <col min="9702" max="9702" width="60.28515625" style="1298" customWidth="1"/>
    <col min="9703" max="9703" width="19.42578125" style="1298" customWidth="1"/>
    <col min="9704" max="9956" width="9.140625" style="1298"/>
    <col min="9957" max="9957" width="6.42578125" style="1298" customWidth="1"/>
    <col min="9958" max="9958" width="60.28515625" style="1298" customWidth="1"/>
    <col min="9959" max="9959" width="19.42578125" style="1298" customWidth="1"/>
    <col min="9960" max="10212" width="9.140625" style="1298"/>
    <col min="10213" max="10213" width="6.42578125" style="1298" customWidth="1"/>
    <col min="10214" max="10214" width="60.28515625" style="1298" customWidth="1"/>
    <col min="10215" max="10215" width="19.42578125" style="1298" customWidth="1"/>
    <col min="10216" max="10468" width="9.140625" style="1298"/>
    <col min="10469" max="10469" width="6.42578125" style="1298" customWidth="1"/>
    <col min="10470" max="10470" width="60.28515625" style="1298" customWidth="1"/>
    <col min="10471" max="10471" width="19.42578125" style="1298" customWidth="1"/>
    <col min="10472" max="10724" width="9.140625" style="1298"/>
    <col min="10725" max="10725" width="6.42578125" style="1298" customWidth="1"/>
    <col min="10726" max="10726" width="60.28515625" style="1298" customWidth="1"/>
    <col min="10727" max="10727" width="19.42578125" style="1298" customWidth="1"/>
    <col min="10728" max="10980" width="9.140625" style="1298"/>
    <col min="10981" max="10981" width="6.42578125" style="1298" customWidth="1"/>
    <col min="10982" max="10982" width="60.28515625" style="1298" customWidth="1"/>
    <col min="10983" max="10983" width="19.42578125" style="1298" customWidth="1"/>
    <col min="10984" max="11236" width="9.140625" style="1298"/>
    <col min="11237" max="11237" width="6.42578125" style="1298" customWidth="1"/>
    <col min="11238" max="11238" width="60.28515625" style="1298" customWidth="1"/>
    <col min="11239" max="11239" width="19.42578125" style="1298" customWidth="1"/>
    <col min="11240" max="11492" width="9.140625" style="1298"/>
    <col min="11493" max="11493" width="6.42578125" style="1298" customWidth="1"/>
    <col min="11494" max="11494" width="60.28515625" style="1298" customWidth="1"/>
    <col min="11495" max="11495" width="19.42578125" style="1298" customWidth="1"/>
    <col min="11496" max="11748" width="9.140625" style="1298"/>
    <col min="11749" max="11749" width="6.42578125" style="1298" customWidth="1"/>
    <col min="11750" max="11750" width="60.28515625" style="1298" customWidth="1"/>
    <col min="11751" max="11751" width="19.42578125" style="1298" customWidth="1"/>
    <col min="11752" max="12004" width="9.140625" style="1298"/>
    <col min="12005" max="12005" width="6.42578125" style="1298" customWidth="1"/>
    <col min="12006" max="12006" width="60.28515625" style="1298" customWidth="1"/>
    <col min="12007" max="12007" width="19.42578125" style="1298" customWidth="1"/>
    <col min="12008" max="12260" width="9.140625" style="1298"/>
    <col min="12261" max="12261" width="6.42578125" style="1298" customWidth="1"/>
    <col min="12262" max="12262" width="60.28515625" style="1298" customWidth="1"/>
    <col min="12263" max="12263" width="19.42578125" style="1298" customWidth="1"/>
    <col min="12264" max="12516" width="9.140625" style="1298"/>
    <col min="12517" max="12517" width="6.42578125" style="1298" customWidth="1"/>
    <col min="12518" max="12518" width="60.28515625" style="1298" customWidth="1"/>
    <col min="12519" max="12519" width="19.42578125" style="1298" customWidth="1"/>
    <col min="12520" max="12772" width="9.140625" style="1298"/>
    <col min="12773" max="12773" width="6.42578125" style="1298" customWidth="1"/>
    <col min="12774" max="12774" width="60.28515625" style="1298" customWidth="1"/>
    <col min="12775" max="12775" width="19.42578125" style="1298" customWidth="1"/>
    <col min="12776" max="13028" width="9.140625" style="1298"/>
    <col min="13029" max="13029" width="6.42578125" style="1298" customWidth="1"/>
    <col min="13030" max="13030" width="60.28515625" style="1298" customWidth="1"/>
    <col min="13031" max="13031" width="19.42578125" style="1298" customWidth="1"/>
    <col min="13032" max="13284" width="9.140625" style="1298"/>
    <col min="13285" max="13285" width="6.42578125" style="1298" customWidth="1"/>
    <col min="13286" max="13286" width="60.28515625" style="1298" customWidth="1"/>
    <col min="13287" max="13287" width="19.42578125" style="1298" customWidth="1"/>
    <col min="13288" max="13540" width="9.140625" style="1298"/>
    <col min="13541" max="13541" width="6.42578125" style="1298" customWidth="1"/>
    <col min="13542" max="13542" width="60.28515625" style="1298" customWidth="1"/>
    <col min="13543" max="13543" width="19.42578125" style="1298" customWidth="1"/>
    <col min="13544" max="13796" width="9.140625" style="1298"/>
    <col min="13797" max="13797" width="6.42578125" style="1298" customWidth="1"/>
    <col min="13798" max="13798" width="60.28515625" style="1298" customWidth="1"/>
    <col min="13799" max="13799" width="19.42578125" style="1298" customWidth="1"/>
    <col min="13800" max="14052" width="9.140625" style="1298"/>
    <col min="14053" max="14053" width="6.42578125" style="1298" customWidth="1"/>
    <col min="14054" max="14054" width="60.28515625" style="1298" customWidth="1"/>
    <col min="14055" max="14055" width="19.42578125" style="1298" customWidth="1"/>
    <col min="14056" max="14308" width="9.140625" style="1298"/>
    <col min="14309" max="14309" width="6.42578125" style="1298" customWidth="1"/>
    <col min="14310" max="14310" width="60.28515625" style="1298" customWidth="1"/>
    <col min="14311" max="14311" width="19.42578125" style="1298" customWidth="1"/>
    <col min="14312" max="14564" width="9.140625" style="1298"/>
    <col min="14565" max="14565" width="6.42578125" style="1298" customWidth="1"/>
    <col min="14566" max="14566" width="60.28515625" style="1298" customWidth="1"/>
    <col min="14567" max="14567" width="19.42578125" style="1298" customWidth="1"/>
    <col min="14568" max="14820" width="9.140625" style="1298"/>
    <col min="14821" max="14821" width="6.42578125" style="1298" customWidth="1"/>
    <col min="14822" max="14822" width="60.28515625" style="1298" customWidth="1"/>
    <col min="14823" max="14823" width="19.42578125" style="1298" customWidth="1"/>
    <col min="14824" max="15076" width="9.140625" style="1298"/>
    <col min="15077" max="15077" width="6.42578125" style="1298" customWidth="1"/>
    <col min="15078" max="15078" width="60.28515625" style="1298" customWidth="1"/>
    <col min="15079" max="15079" width="19.42578125" style="1298" customWidth="1"/>
    <col min="15080" max="15332" width="9.140625" style="1298"/>
    <col min="15333" max="15333" width="6.42578125" style="1298" customWidth="1"/>
    <col min="15334" max="15334" width="60.28515625" style="1298" customWidth="1"/>
    <col min="15335" max="15335" width="19.42578125" style="1298" customWidth="1"/>
    <col min="15336" max="15588" width="9.140625" style="1298"/>
    <col min="15589" max="15589" width="6.42578125" style="1298" customWidth="1"/>
    <col min="15590" max="15590" width="60.28515625" style="1298" customWidth="1"/>
    <col min="15591" max="15591" width="19.42578125" style="1298" customWidth="1"/>
    <col min="15592" max="15844" width="9.140625" style="1298"/>
    <col min="15845" max="15845" width="6.42578125" style="1298" customWidth="1"/>
    <col min="15846" max="15846" width="60.28515625" style="1298" customWidth="1"/>
    <col min="15847" max="15847" width="19.42578125" style="1298" customWidth="1"/>
    <col min="15848" max="16100" width="9.140625" style="1298"/>
    <col min="16101" max="16101" width="6.42578125" style="1298" customWidth="1"/>
    <col min="16102" max="16102" width="60.28515625" style="1298" customWidth="1"/>
    <col min="16103" max="16103" width="19.42578125" style="1298" customWidth="1"/>
    <col min="16104" max="16356" width="9.140625" style="1298"/>
    <col min="16357" max="16357" width="8.85546875" style="1298" customWidth="1"/>
    <col min="16358" max="16358" width="9.140625" style="1298"/>
    <col min="16359" max="16384" width="8.85546875" style="1298" customWidth="1"/>
  </cols>
  <sheetData>
    <row r="1" spans="1:13">
      <c r="A1" s="1557" t="s">
        <v>1070</v>
      </c>
      <c r="B1" s="1557"/>
      <c r="C1" s="1557"/>
      <c r="D1" s="1348"/>
      <c r="E1" s="1348"/>
      <c r="F1" s="1348"/>
    </row>
    <row r="2" spans="1:13" ht="15.75" customHeight="1">
      <c r="A2" s="1558" t="s">
        <v>672</v>
      </c>
      <c r="B2" s="1558"/>
      <c r="C2" s="1558"/>
      <c r="D2" s="1349"/>
      <c r="E2" s="1349"/>
      <c r="F2" s="1349"/>
      <c r="I2" s="1299"/>
    </row>
    <row r="3" spans="1:13" ht="16.5" thickBot="1">
      <c r="A3" s="1300"/>
      <c r="B3" s="1300"/>
      <c r="C3" s="1301"/>
      <c r="D3" s="1301"/>
      <c r="E3" s="1301"/>
      <c r="F3" s="1301"/>
    </row>
    <row r="4" spans="1:13">
      <c r="A4" s="1559" t="s">
        <v>2</v>
      </c>
      <c r="B4" s="1561" t="s">
        <v>3</v>
      </c>
      <c r="C4" s="1296" t="s">
        <v>4</v>
      </c>
      <c r="D4" s="1350"/>
      <c r="E4" s="1350"/>
      <c r="F4" s="1350"/>
    </row>
    <row r="5" spans="1:13" ht="16.5" thickBot="1">
      <c r="A5" s="1560"/>
      <c r="B5" s="1562"/>
      <c r="C5" s="1302" t="s">
        <v>5</v>
      </c>
      <c r="D5" s="1350"/>
      <c r="E5" s="1350"/>
      <c r="F5" s="1350"/>
      <c r="G5" s="1299"/>
      <c r="M5" s="1299"/>
    </row>
    <row r="6" spans="1:13">
      <c r="A6" s="1563">
        <v>1</v>
      </c>
      <c r="B6" s="1303" t="s">
        <v>6</v>
      </c>
      <c r="C6" s="1429">
        <f>SUM(C7:C8)</f>
        <v>1070191</v>
      </c>
      <c r="D6" s="1351"/>
      <c r="E6" s="1351"/>
      <c r="F6" s="1351"/>
      <c r="G6" s="1304"/>
      <c r="I6" s="1299"/>
      <c r="K6" s="1299"/>
    </row>
    <row r="7" spans="1:13">
      <c r="A7" s="1564"/>
      <c r="B7" s="1305" t="s">
        <v>7</v>
      </c>
      <c r="C7" s="1430">
        <v>1038191</v>
      </c>
      <c r="D7" s="1352"/>
      <c r="E7" s="1352"/>
      <c r="F7" s="1352"/>
      <c r="G7" s="1299">
        <f>C7-C7*10%</f>
        <v>934371.9</v>
      </c>
      <c r="I7" s="1299"/>
      <c r="K7" s="1299"/>
    </row>
    <row r="8" spans="1:13" ht="16.5" thickBot="1">
      <c r="A8" s="1565"/>
      <c r="B8" s="1306" t="s">
        <v>8</v>
      </c>
      <c r="C8" s="1430">
        <v>32000</v>
      </c>
      <c r="D8" s="1352"/>
      <c r="E8" s="1352"/>
      <c r="F8" s="1352"/>
      <c r="G8" s="1304"/>
    </row>
    <row r="9" spans="1:13">
      <c r="A9" s="1553">
        <v>2</v>
      </c>
      <c r="B9" s="1307" t="s">
        <v>9</v>
      </c>
      <c r="C9" s="1431">
        <f>SUM(C10:C14)</f>
        <v>160159</v>
      </c>
      <c r="D9" s="1351"/>
      <c r="E9" s="1351"/>
      <c r="F9" s="1351"/>
      <c r="G9" s="1304"/>
    </row>
    <row r="10" spans="1:13" ht="18" customHeight="1">
      <c r="A10" s="1554"/>
      <c r="B10" s="1309" t="s">
        <v>1433</v>
      </c>
      <c r="C10" s="1432">
        <v>25955</v>
      </c>
      <c r="D10" s="1353"/>
      <c r="E10" s="1353"/>
      <c r="F10" s="1353"/>
      <c r="G10" s="1310">
        <f>C7*2.5%</f>
        <v>25954.775000000001</v>
      </c>
    </row>
    <row r="11" spans="1:13">
      <c r="A11" s="1554"/>
      <c r="B11" s="1309" t="s">
        <v>11</v>
      </c>
      <c r="C11" s="1432">
        <v>56062</v>
      </c>
      <c r="D11" s="1353"/>
      <c r="E11" s="1353"/>
      <c r="F11" s="1353"/>
      <c r="G11" s="1310">
        <f>G7*6%</f>
        <v>56062.313999999998</v>
      </c>
    </row>
    <row r="12" spans="1:13">
      <c r="A12" s="1554"/>
      <c r="B12" s="1309" t="s">
        <v>1432</v>
      </c>
      <c r="C12" s="1432">
        <v>46719</v>
      </c>
      <c r="D12" s="1353"/>
      <c r="E12" s="1353"/>
      <c r="F12" s="1353"/>
      <c r="G12" s="1310">
        <f>G7*5%</f>
        <v>46718.595000000001</v>
      </c>
    </row>
    <row r="13" spans="1:13">
      <c r="A13" s="1554"/>
      <c r="B13" s="1309" t="s">
        <v>13</v>
      </c>
      <c r="C13" s="1432">
        <v>31146</v>
      </c>
      <c r="D13" s="1353"/>
      <c r="E13" s="1353"/>
      <c r="F13" s="1353"/>
      <c r="G13" s="1310">
        <f>C7*3%</f>
        <v>31145.73</v>
      </c>
    </row>
    <row r="14" spans="1:13" ht="16.5" thickBot="1">
      <c r="A14" s="1555"/>
      <c r="B14" s="1311" t="s">
        <v>14</v>
      </c>
      <c r="C14" s="1433">
        <v>277</v>
      </c>
      <c r="D14" s="1352"/>
      <c r="E14" s="1352"/>
      <c r="F14" s="1352"/>
      <c r="G14" s="1304">
        <v>277</v>
      </c>
      <c r="I14" s="1299"/>
    </row>
    <row r="15" spans="1:13" ht="32.25" thickBot="1">
      <c r="A15" s="1312">
        <v>3</v>
      </c>
      <c r="B15" s="1313" t="s">
        <v>15</v>
      </c>
      <c r="C15" s="1434">
        <v>10000</v>
      </c>
      <c r="D15" s="1351"/>
      <c r="E15" s="1351"/>
      <c r="F15" s="1351"/>
      <c r="I15" s="1299"/>
    </row>
    <row r="16" spans="1:13">
      <c r="A16" s="1551">
        <v>4</v>
      </c>
      <c r="B16" s="1315" t="s">
        <v>16</v>
      </c>
      <c r="C16" s="1429">
        <f>C17</f>
        <v>3654</v>
      </c>
      <c r="D16" s="1351"/>
      <c r="E16" s="1351"/>
      <c r="F16" s="1351"/>
    </row>
    <row r="17" spans="1:9" ht="16.5" thickBot="1">
      <c r="A17" s="1552"/>
      <c r="B17" s="1306" t="s">
        <v>1078</v>
      </c>
      <c r="C17" s="1435">
        <v>3654</v>
      </c>
      <c r="D17" s="1353"/>
      <c r="E17" s="1353"/>
      <c r="F17" s="1353"/>
      <c r="I17" s="1185"/>
    </row>
    <row r="18" spans="1:9">
      <c r="A18" s="1553">
        <v>5</v>
      </c>
      <c r="B18" s="1307" t="s">
        <v>18</v>
      </c>
      <c r="C18" s="1429">
        <f>SUM(C19:C20)</f>
        <v>89073</v>
      </c>
      <c r="D18" s="1351"/>
      <c r="E18" s="1351"/>
      <c r="F18" s="1351"/>
      <c r="I18" s="1185"/>
    </row>
    <row r="19" spans="1:9" ht="16.5" thickBot="1">
      <c r="A19" s="1554"/>
      <c r="B19" s="1311" t="s">
        <v>477</v>
      </c>
      <c r="C19" s="1432">
        <v>10013</v>
      </c>
      <c r="E19" s="1353"/>
      <c r="F19" s="1353"/>
      <c r="I19" s="1185"/>
    </row>
    <row r="20" spans="1:9" s="1316" customFormat="1" ht="15.75" customHeight="1" thickBot="1">
      <c r="A20" s="1555"/>
      <c r="B20" s="1309" t="s">
        <v>19</v>
      </c>
      <c r="C20" s="1435">
        <f>88260-9200</f>
        <v>79060</v>
      </c>
      <c r="D20" s="1353"/>
      <c r="E20" s="1353"/>
      <c r="F20" s="1353"/>
      <c r="I20" s="1185"/>
    </row>
    <row r="21" spans="1:9">
      <c r="A21" s="1553">
        <v>6</v>
      </c>
      <c r="B21" s="1315" t="s">
        <v>20</v>
      </c>
      <c r="C21" s="1436">
        <f>SUM(C22:C24)</f>
        <v>217667.1</v>
      </c>
      <c r="D21" s="1351"/>
      <c r="E21" s="1351"/>
      <c r="F21" s="1351"/>
      <c r="G21" s="1317"/>
      <c r="I21" s="1185"/>
    </row>
    <row r="22" spans="1:9">
      <c r="A22" s="1554"/>
      <c r="B22" s="1318" t="s">
        <v>21</v>
      </c>
      <c r="C22" s="1430">
        <f>8955+4950.1</f>
        <v>13905.1</v>
      </c>
      <c r="D22" s="1352"/>
      <c r="E22" s="1352"/>
      <c r="F22" s="1352"/>
      <c r="G22" s="1298">
        <v>8955</v>
      </c>
      <c r="H22" s="1185">
        <f>C22-G22</f>
        <v>4950.1000000000004</v>
      </c>
      <c r="I22" s="1185"/>
    </row>
    <row r="23" spans="1:9">
      <c r="A23" s="1554"/>
      <c r="B23" s="1319" t="s">
        <v>22</v>
      </c>
      <c r="C23" s="1430">
        <f>160385+3718</f>
        <v>164103</v>
      </c>
      <c r="D23" s="1352"/>
      <c r="E23" s="1352"/>
      <c r="F23" s="1352"/>
      <c r="G23" s="1185">
        <f>C23-H22</f>
        <v>159152.9</v>
      </c>
      <c r="I23" s="1185"/>
    </row>
    <row r="24" spans="1:9" ht="16.5" thickBot="1">
      <c r="A24" s="1555"/>
      <c r="B24" s="1320" t="s">
        <v>23</v>
      </c>
      <c r="C24" s="1433">
        <f>23858+15801</f>
        <v>39659</v>
      </c>
      <c r="D24" s="1352"/>
      <c r="E24" s="1352"/>
      <c r="F24" s="1352"/>
      <c r="G24" s="1298">
        <v>23858</v>
      </c>
      <c r="H24" s="1298">
        <v>23858</v>
      </c>
      <c r="I24" s="1185"/>
    </row>
    <row r="25" spans="1:9">
      <c r="A25" s="1551">
        <v>7</v>
      </c>
      <c r="B25" s="1321" t="s">
        <v>24</v>
      </c>
      <c r="C25" s="1429">
        <f>SUM(C26:C27)</f>
        <v>9579</v>
      </c>
      <c r="D25" s="1351"/>
      <c r="E25" s="1351"/>
      <c r="F25" s="1351"/>
      <c r="I25" s="1185"/>
    </row>
    <row r="26" spans="1:9">
      <c r="A26" s="1556"/>
      <c r="B26" s="1322" t="s">
        <v>1450</v>
      </c>
      <c r="C26" s="1432">
        <v>1179</v>
      </c>
      <c r="D26" s="1353"/>
      <c r="E26" s="1353"/>
      <c r="F26" s="1353"/>
    </row>
    <row r="27" spans="1:9" ht="32.25" thickBot="1">
      <c r="A27" s="1556"/>
      <c r="B27" s="1323" t="s">
        <v>1451</v>
      </c>
      <c r="C27" s="1432">
        <v>8400</v>
      </c>
      <c r="D27" s="1353"/>
      <c r="E27" s="1353"/>
      <c r="F27" s="1353"/>
    </row>
    <row r="28" spans="1:9">
      <c r="A28" s="1551">
        <v>8</v>
      </c>
      <c r="B28" s="1321" t="s">
        <v>25</v>
      </c>
      <c r="C28" s="1429">
        <f>C29</f>
        <v>163948</v>
      </c>
      <c r="D28" s="1351"/>
      <c r="E28" s="1351"/>
      <c r="F28" s="1351"/>
    </row>
    <row r="29" spans="1:9" ht="32.25" thickBot="1">
      <c r="A29" s="1552"/>
      <c r="B29" s="1324" t="s">
        <v>26</v>
      </c>
      <c r="C29" s="1433">
        <f>148948+15000</f>
        <v>163948</v>
      </c>
      <c r="D29" s="1352"/>
      <c r="E29" s="1352"/>
      <c r="F29" s="1352"/>
    </row>
    <row r="30" spans="1:9">
      <c r="A30" s="1551">
        <v>9</v>
      </c>
      <c r="B30" s="1325" t="s">
        <v>28</v>
      </c>
      <c r="C30" s="1341">
        <f>SUM(C31:C32)</f>
        <v>93226</v>
      </c>
      <c r="D30" s="1350"/>
      <c r="E30" s="1350"/>
      <c r="F30" s="1350"/>
    </row>
    <row r="31" spans="1:9" ht="31.5">
      <c r="A31" s="1556"/>
      <c r="B31" s="1326" t="s">
        <v>29</v>
      </c>
      <c r="C31" s="1430">
        <v>15529</v>
      </c>
      <c r="D31" s="1352"/>
      <c r="E31" s="1352"/>
      <c r="F31" s="1352"/>
      <c r="G31" s="1185"/>
    </row>
    <row r="32" spans="1:9" ht="32.25" thickBot="1">
      <c r="A32" s="1552"/>
      <c r="B32" s="1327" t="s">
        <v>30</v>
      </c>
      <c r="C32" s="1435">
        <v>77697</v>
      </c>
      <c r="D32" s="1353">
        <f>C30+C34</f>
        <v>513916</v>
      </c>
      <c r="E32" s="1353"/>
      <c r="F32" s="1353"/>
      <c r="G32" s="1185"/>
      <c r="I32" s="1185"/>
    </row>
    <row r="33" spans="1:9">
      <c r="A33" s="1548">
        <v>10</v>
      </c>
      <c r="B33" s="1328" t="s">
        <v>31</v>
      </c>
      <c r="C33" s="1341">
        <f>SUM(C34:C39)</f>
        <v>702828.3</v>
      </c>
      <c r="D33" s="1350"/>
      <c r="E33" s="1350"/>
      <c r="F33" s="1350"/>
    </row>
    <row r="34" spans="1:9">
      <c r="A34" s="1549"/>
      <c r="B34" s="1329" t="s">
        <v>32</v>
      </c>
      <c r="C34" s="1430">
        <v>420690</v>
      </c>
      <c r="D34" s="1352"/>
      <c r="E34" s="1352"/>
      <c r="F34" s="1352"/>
      <c r="G34" s="1186"/>
    </row>
    <row r="35" spans="1:9">
      <c r="A35" s="1549"/>
      <c r="B35" s="1330" t="s">
        <v>33</v>
      </c>
      <c r="C35" s="1432">
        <v>86</v>
      </c>
      <c r="D35" s="1353">
        <f>C35+C36+C37+C38+C39</f>
        <v>282138.3</v>
      </c>
      <c r="E35" s="1353"/>
      <c r="F35" s="1353"/>
      <c r="G35" s="1185"/>
    </row>
    <row r="36" spans="1:9">
      <c r="A36" s="1549"/>
      <c r="B36" s="1330" t="s">
        <v>34</v>
      </c>
      <c r="C36" s="1432">
        <v>185</v>
      </c>
      <c r="D36" s="1353"/>
      <c r="E36" s="1353"/>
      <c r="F36" s="1353"/>
    </row>
    <row r="37" spans="1:9">
      <c r="A37" s="1549"/>
      <c r="B37" s="1330" t="s">
        <v>35</v>
      </c>
      <c r="C37" s="1432">
        <v>8832</v>
      </c>
      <c r="D37" s="1353"/>
      <c r="E37" s="1353"/>
      <c r="F37" s="1353"/>
    </row>
    <row r="38" spans="1:9">
      <c r="A38" s="1549"/>
      <c r="B38" s="1330" t="s">
        <v>36</v>
      </c>
      <c r="C38" s="1430">
        <f>'страхжизни 192 ед.'!E9</f>
        <v>3000</v>
      </c>
      <c r="D38" s="1352"/>
      <c r="E38" s="1352"/>
      <c r="F38" s="1352"/>
      <c r="G38" s="1317"/>
    </row>
    <row r="39" spans="1:9" ht="16.5" thickBot="1">
      <c r="A39" s="1550"/>
      <c r="B39" s="1331" t="s">
        <v>37</v>
      </c>
      <c r="C39" s="1433">
        <f>267099+2936.3</f>
        <v>270035.3</v>
      </c>
      <c r="D39" s="1352"/>
      <c r="E39" s="1352"/>
      <c r="F39" s="1352"/>
      <c r="G39" s="1299"/>
      <c r="H39" s="1185"/>
    </row>
    <row r="40" spans="1:9" ht="16.5" thickBot="1">
      <c r="A40" s="1332"/>
      <c r="B40" s="1333" t="s">
        <v>38</v>
      </c>
      <c r="C40" s="1451">
        <f>C33+C30+C28+C25+C21+C18+C16+C15+C9+C6</f>
        <v>2520325.4000000004</v>
      </c>
      <c r="D40" s="1354">
        <f>C33+C30+C28+C25+C21+C16+C15+C9+C6+C18</f>
        <v>2520325.4000000004</v>
      </c>
      <c r="E40" s="1354">
        <f>C40/1.12</f>
        <v>2250290.5357142859</v>
      </c>
      <c r="F40" s="1354">
        <v>2225821.42857143</v>
      </c>
      <c r="G40" s="1335">
        <f>C40-2492920</f>
        <v>27405.400000000373</v>
      </c>
      <c r="I40" s="1317"/>
    </row>
    <row r="41" spans="1:9">
      <c r="A41" s="1336"/>
      <c r="G41" s="1317"/>
      <c r="H41" s="1185"/>
    </row>
    <row r="42" spans="1:9">
      <c r="A42" s="1337"/>
      <c r="B42" s="1337"/>
      <c r="C42" s="1338"/>
      <c r="D42" s="1338"/>
      <c r="E42" s="1338"/>
      <c r="F42" s="1338"/>
      <c r="G42" s="1299"/>
    </row>
    <row r="43" spans="1:9">
      <c r="A43" s="1499" t="s">
        <v>1670</v>
      </c>
      <c r="B43" s="1499"/>
      <c r="C43" s="1499" t="s">
        <v>1671</v>
      </c>
      <c r="D43" s="674"/>
      <c r="E43" s="673"/>
    </row>
    <row r="44" spans="1:9" ht="18.75">
      <c r="A44" s="1499"/>
      <c r="B44" s="1499"/>
      <c r="C44" s="1499"/>
      <c r="D44" s="1055"/>
      <c r="E44" s="747"/>
    </row>
    <row r="45" spans="1:9" ht="18.75">
      <c r="A45" s="1499"/>
      <c r="B45" s="1499"/>
      <c r="C45" s="1499"/>
      <c r="D45" s="1055"/>
      <c r="E45" s="747"/>
    </row>
    <row r="46" spans="1:9" ht="18.75">
      <c r="A46" s="1499" t="s">
        <v>1672</v>
      </c>
      <c r="B46" s="1499"/>
      <c r="C46" s="1499"/>
      <c r="D46" s="1055"/>
      <c r="E46" s="747"/>
    </row>
    <row r="47" spans="1:9" ht="18.75">
      <c r="A47" s="1499" t="s">
        <v>1673</v>
      </c>
      <c r="B47" s="1499"/>
      <c r="C47" s="1499" t="s">
        <v>1674</v>
      </c>
      <c r="D47" s="1055"/>
      <c r="E47" s="747"/>
    </row>
    <row r="48" spans="1:9" ht="18.75">
      <c r="A48" s="1499"/>
      <c r="B48" s="1499"/>
      <c r="C48" s="1499"/>
      <c r="D48" s="743"/>
      <c r="E48" s="747"/>
    </row>
    <row r="49" spans="1:5" ht="18.75">
      <c r="A49" s="1499"/>
      <c r="B49" s="1499"/>
      <c r="C49" s="1499"/>
      <c r="D49" s="742"/>
      <c r="E49" s="747"/>
    </row>
    <row r="50" spans="1:5">
      <c r="A50" s="1499" t="s">
        <v>1166</v>
      </c>
      <c r="B50" s="1500"/>
      <c r="C50" s="1501" t="s">
        <v>1168</v>
      </c>
      <c r="D50" s="739"/>
      <c r="E50" s="747"/>
    </row>
  </sheetData>
  <mergeCells count="13">
    <mergeCell ref="A9:A14"/>
    <mergeCell ref="A1:C1"/>
    <mergeCell ref="A2:C2"/>
    <mergeCell ref="A4:A5"/>
    <mergeCell ref="B4:B5"/>
    <mergeCell ref="A6:A8"/>
    <mergeCell ref="A33:A39"/>
    <mergeCell ref="A16:A17"/>
    <mergeCell ref="A18:A20"/>
    <mergeCell ref="A21:A24"/>
    <mergeCell ref="A25:A27"/>
    <mergeCell ref="A28:A29"/>
    <mergeCell ref="A30:A32"/>
  </mergeCells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J48"/>
  <sheetViews>
    <sheetView view="pageBreakPreview" zoomScale="80" zoomScaleNormal="100" zoomScaleSheetLayoutView="80" workbookViewId="0">
      <pane ySplit="1" topLeftCell="A20" activePane="bottomLeft" state="frozen"/>
      <selection pane="bottomLeft" activeCell="C19" sqref="C19"/>
    </sheetView>
  </sheetViews>
  <sheetFormatPr defaultRowHeight="15.75"/>
  <cols>
    <col min="1" max="1" width="6.42578125" style="1298" customWidth="1"/>
    <col min="2" max="2" width="65.28515625" style="1298" customWidth="1"/>
    <col min="3" max="3" width="23.42578125" style="1185" customWidth="1"/>
    <col min="4" max="4" width="19.28515625" style="1298" bestFit="1" customWidth="1"/>
    <col min="5" max="5" width="15.7109375" style="1298" customWidth="1"/>
    <col min="6" max="6" width="20.5703125" style="1298" customWidth="1"/>
    <col min="7" max="7" width="10.140625" style="1298" bestFit="1" customWidth="1"/>
    <col min="8" max="8" width="19.85546875" style="1298" customWidth="1"/>
    <col min="9" max="9" width="9.140625" style="1298"/>
    <col min="10" max="10" width="18.7109375" style="1298" customWidth="1"/>
    <col min="11" max="225" width="9.140625" style="1298"/>
    <col min="226" max="226" width="6.42578125" style="1298" customWidth="1"/>
    <col min="227" max="227" width="60.28515625" style="1298" customWidth="1"/>
    <col min="228" max="228" width="19.42578125" style="1298" customWidth="1"/>
    <col min="229" max="481" width="9.140625" style="1298"/>
    <col min="482" max="482" width="6.42578125" style="1298" customWidth="1"/>
    <col min="483" max="483" width="60.28515625" style="1298" customWidth="1"/>
    <col min="484" max="484" width="19.42578125" style="1298" customWidth="1"/>
    <col min="485" max="737" width="9.140625" style="1298"/>
    <col min="738" max="738" width="6.42578125" style="1298" customWidth="1"/>
    <col min="739" max="739" width="60.28515625" style="1298" customWidth="1"/>
    <col min="740" max="740" width="19.42578125" style="1298" customWidth="1"/>
    <col min="741" max="993" width="9.140625" style="1298"/>
    <col min="994" max="994" width="6.42578125" style="1298" customWidth="1"/>
    <col min="995" max="995" width="60.28515625" style="1298" customWidth="1"/>
    <col min="996" max="996" width="19.42578125" style="1298" customWidth="1"/>
    <col min="997" max="1249" width="9.140625" style="1298"/>
    <col min="1250" max="1250" width="6.42578125" style="1298" customWidth="1"/>
    <col min="1251" max="1251" width="60.28515625" style="1298" customWidth="1"/>
    <col min="1252" max="1252" width="19.42578125" style="1298" customWidth="1"/>
    <col min="1253" max="1505" width="9.140625" style="1298"/>
    <col min="1506" max="1506" width="6.42578125" style="1298" customWidth="1"/>
    <col min="1507" max="1507" width="60.28515625" style="1298" customWidth="1"/>
    <col min="1508" max="1508" width="19.42578125" style="1298" customWidth="1"/>
    <col min="1509" max="1761" width="9.140625" style="1298"/>
    <col min="1762" max="1762" width="6.42578125" style="1298" customWidth="1"/>
    <col min="1763" max="1763" width="60.28515625" style="1298" customWidth="1"/>
    <col min="1764" max="1764" width="19.42578125" style="1298" customWidth="1"/>
    <col min="1765" max="2017" width="9.140625" style="1298"/>
    <col min="2018" max="2018" width="6.42578125" style="1298" customWidth="1"/>
    <col min="2019" max="2019" width="60.28515625" style="1298" customWidth="1"/>
    <col min="2020" max="2020" width="19.42578125" style="1298" customWidth="1"/>
    <col min="2021" max="2273" width="9.140625" style="1298"/>
    <col min="2274" max="2274" width="6.42578125" style="1298" customWidth="1"/>
    <col min="2275" max="2275" width="60.28515625" style="1298" customWidth="1"/>
    <col min="2276" max="2276" width="19.42578125" style="1298" customWidth="1"/>
    <col min="2277" max="2529" width="9.140625" style="1298"/>
    <col min="2530" max="2530" width="6.42578125" style="1298" customWidth="1"/>
    <col min="2531" max="2531" width="60.28515625" style="1298" customWidth="1"/>
    <col min="2532" max="2532" width="19.42578125" style="1298" customWidth="1"/>
    <col min="2533" max="2785" width="9.140625" style="1298"/>
    <col min="2786" max="2786" width="6.42578125" style="1298" customWidth="1"/>
    <col min="2787" max="2787" width="60.28515625" style="1298" customWidth="1"/>
    <col min="2788" max="2788" width="19.42578125" style="1298" customWidth="1"/>
    <col min="2789" max="3041" width="9.140625" style="1298"/>
    <col min="3042" max="3042" width="6.42578125" style="1298" customWidth="1"/>
    <col min="3043" max="3043" width="60.28515625" style="1298" customWidth="1"/>
    <col min="3044" max="3044" width="19.42578125" style="1298" customWidth="1"/>
    <col min="3045" max="3297" width="9.140625" style="1298"/>
    <col min="3298" max="3298" width="6.42578125" style="1298" customWidth="1"/>
    <col min="3299" max="3299" width="60.28515625" style="1298" customWidth="1"/>
    <col min="3300" max="3300" width="19.42578125" style="1298" customWidth="1"/>
    <col min="3301" max="3553" width="9.140625" style="1298"/>
    <col min="3554" max="3554" width="6.42578125" style="1298" customWidth="1"/>
    <col min="3555" max="3555" width="60.28515625" style="1298" customWidth="1"/>
    <col min="3556" max="3556" width="19.42578125" style="1298" customWidth="1"/>
    <col min="3557" max="3809" width="9.140625" style="1298"/>
    <col min="3810" max="3810" width="6.42578125" style="1298" customWidth="1"/>
    <col min="3811" max="3811" width="60.28515625" style="1298" customWidth="1"/>
    <col min="3812" max="3812" width="19.42578125" style="1298" customWidth="1"/>
    <col min="3813" max="4065" width="9.140625" style="1298"/>
    <col min="4066" max="4066" width="6.42578125" style="1298" customWidth="1"/>
    <col min="4067" max="4067" width="60.28515625" style="1298" customWidth="1"/>
    <col min="4068" max="4068" width="19.42578125" style="1298" customWidth="1"/>
    <col min="4069" max="4321" width="9.140625" style="1298"/>
    <col min="4322" max="4322" width="6.42578125" style="1298" customWidth="1"/>
    <col min="4323" max="4323" width="60.28515625" style="1298" customWidth="1"/>
    <col min="4324" max="4324" width="19.42578125" style="1298" customWidth="1"/>
    <col min="4325" max="4577" width="9.140625" style="1298"/>
    <col min="4578" max="4578" width="6.42578125" style="1298" customWidth="1"/>
    <col min="4579" max="4579" width="60.28515625" style="1298" customWidth="1"/>
    <col min="4580" max="4580" width="19.42578125" style="1298" customWidth="1"/>
    <col min="4581" max="4833" width="9.140625" style="1298"/>
    <col min="4834" max="4834" width="6.42578125" style="1298" customWidth="1"/>
    <col min="4835" max="4835" width="60.28515625" style="1298" customWidth="1"/>
    <col min="4836" max="4836" width="19.42578125" style="1298" customWidth="1"/>
    <col min="4837" max="5089" width="9.140625" style="1298"/>
    <col min="5090" max="5090" width="6.42578125" style="1298" customWidth="1"/>
    <col min="5091" max="5091" width="60.28515625" style="1298" customWidth="1"/>
    <col min="5092" max="5092" width="19.42578125" style="1298" customWidth="1"/>
    <col min="5093" max="5345" width="9.140625" style="1298"/>
    <col min="5346" max="5346" width="6.42578125" style="1298" customWidth="1"/>
    <col min="5347" max="5347" width="60.28515625" style="1298" customWidth="1"/>
    <col min="5348" max="5348" width="19.42578125" style="1298" customWidth="1"/>
    <col min="5349" max="5601" width="9.140625" style="1298"/>
    <col min="5602" max="5602" width="6.42578125" style="1298" customWidth="1"/>
    <col min="5603" max="5603" width="60.28515625" style="1298" customWidth="1"/>
    <col min="5604" max="5604" width="19.42578125" style="1298" customWidth="1"/>
    <col min="5605" max="5857" width="9.140625" style="1298"/>
    <col min="5858" max="5858" width="6.42578125" style="1298" customWidth="1"/>
    <col min="5859" max="5859" width="60.28515625" style="1298" customWidth="1"/>
    <col min="5860" max="5860" width="19.42578125" style="1298" customWidth="1"/>
    <col min="5861" max="6113" width="9.140625" style="1298"/>
    <col min="6114" max="6114" width="6.42578125" style="1298" customWidth="1"/>
    <col min="6115" max="6115" width="60.28515625" style="1298" customWidth="1"/>
    <col min="6116" max="6116" width="19.42578125" style="1298" customWidth="1"/>
    <col min="6117" max="6369" width="9.140625" style="1298"/>
    <col min="6370" max="6370" width="6.42578125" style="1298" customWidth="1"/>
    <col min="6371" max="6371" width="60.28515625" style="1298" customWidth="1"/>
    <col min="6372" max="6372" width="19.42578125" style="1298" customWidth="1"/>
    <col min="6373" max="6625" width="9.140625" style="1298"/>
    <col min="6626" max="6626" width="6.42578125" style="1298" customWidth="1"/>
    <col min="6627" max="6627" width="60.28515625" style="1298" customWidth="1"/>
    <col min="6628" max="6628" width="19.42578125" style="1298" customWidth="1"/>
    <col min="6629" max="6881" width="9.140625" style="1298"/>
    <col min="6882" max="6882" width="6.42578125" style="1298" customWidth="1"/>
    <col min="6883" max="6883" width="60.28515625" style="1298" customWidth="1"/>
    <col min="6884" max="6884" width="19.42578125" style="1298" customWidth="1"/>
    <col min="6885" max="7137" width="9.140625" style="1298"/>
    <col min="7138" max="7138" width="6.42578125" style="1298" customWidth="1"/>
    <col min="7139" max="7139" width="60.28515625" style="1298" customWidth="1"/>
    <col min="7140" max="7140" width="19.42578125" style="1298" customWidth="1"/>
    <col min="7141" max="7393" width="9.140625" style="1298"/>
    <col min="7394" max="7394" width="6.42578125" style="1298" customWidth="1"/>
    <col min="7395" max="7395" width="60.28515625" style="1298" customWidth="1"/>
    <col min="7396" max="7396" width="19.42578125" style="1298" customWidth="1"/>
    <col min="7397" max="7649" width="9.140625" style="1298"/>
    <col min="7650" max="7650" width="6.42578125" style="1298" customWidth="1"/>
    <col min="7651" max="7651" width="60.28515625" style="1298" customWidth="1"/>
    <col min="7652" max="7652" width="19.42578125" style="1298" customWidth="1"/>
    <col min="7653" max="7905" width="9.140625" style="1298"/>
    <col min="7906" max="7906" width="6.42578125" style="1298" customWidth="1"/>
    <col min="7907" max="7907" width="60.28515625" style="1298" customWidth="1"/>
    <col min="7908" max="7908" width="19.42578125" style="1298" customWidth="1"/>
    <col min="7909" max="8161" width="9.140625" style="1298"/>
    <col min="8162" max="8162" width="6.42578125" style="1298" customWidth="1"/>
    <col min="8163" max="8163" width="60.28515625" style="1298" customWidth="1"/>
    <col min="8164" max="8164" width="19.42578125" style="1298" customWidth="1"/>
    <col min="8165" max="8417" width="9.140625" style="1298"/>
    <col min="8418" max="8418" width="6.42578125" style="1298" customWidth="1"/>
    <col min="8419" max="8419" width="60.28515625" style="1298" customWidth="1"/>
    <col min="8420" max="8420" width="19.42578125" style="1298" customWidth="1"/>
    <col min="8421" max="8673" width="9.140625" style="1298"/>
    <col min="8674" max="8674" width="6.42578125" style="1298" customWidth="1"/>
    <col min="8675" max="8675" width="60.28515625" style="1298" customWidth="1"/>
    <col min="8676" max="8676" width="19.42578125" style="1298" customWidth="1"/>
    <col min="8677" max="8929" width="9.140625" style="1298"/>
    <col min="8930" max="8930" width="6.42578125" style="1298" customWidth="1"/>
    <col min="8931" max="8931" width="60.28515625" style="1298" customWidth="1"/>
    <col min="8932" max="8932" width="19.42578125" style="1298" customWidth="1"/>
    <col min="8933" max="9185" width="9.140625" style="1298"/>
    <col min="9186" max="9186" width="6.42578125" style="1298" customWidth="1"/>
    <col min="9187" max="9187" width="60.28515625" style="1298" customWidth="1"/>
    <col min="9188" max="9188" width="19.42578125" style="1298" customWidth="1"/>
    <col min="9189" max="9441" width="9.140625" style="1298"/>
    <col min="9442" max="9442" width="6.42578125" style="1298" customWidth="1"/>
    <col min="9443" max="9443" width="60.28515625" style="1298" customWidth="1"/>
    <col min="9444" max="9444" width="19.42578125" style="1298" customWidth="1"/>
    <col min="9445" max="9697" width="9.140625" style="1298"/>
    <col min="9698" max="9698" width="6.42578125" style="1298" customWidth="1"/>
    <col min="9699" max="9699" width="60.28515625" style="1298" customWidth="1"/>
    <col min="9700" max="9700" width="19.42578125" style="1298" customWidth="1"/>
    <col min="9701" max="9953" width="9.140625" style="1298"/>
    <col min="9954" max="9954" width="6.42578125" style="1298" customWidth="1"/>
    <col min="9955" max="9955" width="60.28515625" style="1298" customWidth="1"/>
    <col min="9956" max="9956" width="19.42578125" style="1298" customWidth="1"/>
    <col min="9957" max="10209" width="9.140625" style="1298"/>
    <col min="10210" max="10210" width="6.42578125" style="1298" customWidth="1"/>
    <col min="10211" max="10211" width="60.28515625" style="1298" customWidth="1"/>
    <col min="10212" max="10212" width="19.42578125" style="1298" customWidth="1"/>
    <col min="10213" max="10465" width="9.140625" style="1298"/>
    <col min="10466" max="10466" width="6.42578125" style="1298" customWidth="1"/>
    <col min="10467" max="10467" width="60.28515625" style="1298" customWidth="1"/>
    <col min="10468" max="10468" width="19.42578125" style="1298" customWidth="1"/>
    <col min="10469" max="10721" width="9.140625" style="1298"/>
    <col min="10722" max="10722" width="6.42578125" style="1298" customWidth="1"/>
    <col min="10723" max="10723" width="60.28515625" style="1298" customWidth="1"/>
    <col min="10724" max="10724" width="19.42578125" style="1298" customWidth="1"/>
    <col min="10725" max="10977" width="9.140625" style="1298"/>
    <col min="10978" max="10978" width="6.42578125" style="1298" customWidth="1"/>
    <col min="10979" max="10979" width="60.28515625" style="1298" customWidth="1"/>
    <col min="10980" max="10980" width="19.42578125" style="1298" customWidth="1"/>
    <col min="10981" max="11233" width="9.140625" style="1298"/>
    <col min="11234" max="11234" width="6.42578125" style="1298" customWidth="1"/>
    <col min="11235" max="11235" width="60.28515625" style="1298" customWidth="1"/>
    <col min="11236" max="11236" width="19.42578125" style="1298" customWidth="1"/>
    <col min="11237" max="11489" width="9.140625" style="1298"/>
    <col min="11490" max="11490" width="6.42578125" style="1298" customWidth="1"/>
    <col min="11491" max="11491" width="60.28515625" style="1298" customWidth="1"/>
    <col min="11492" max="11492" width="19.42578125" style="1298" customWidth="1"/>
    <col min="11493" max="11745" width="9.140625" style="1298"/>
    <col min="11746" max="11746" width="6.42578125" style="1298" customWidth="1"/>
    <col min="11747" max="11747" width="60.28515625" style="1298" customWidth="1"/>
    <col min="11748" max="11748" width="19.42578125" style="1298" customWidth="1"/>
    <col min="11749" max="12001" width="9.140625" style="1298"/>
    <col min="12002" max="12002" width="6.42578125" style="1298" customWidth="1"/>
    <col min="12003" max="12003" width="60.28515625" style="1298" customWidth="1"/>
    <col min="12004" max="12004" width="19.42578125" style="1298" customWidth="1"/>
    <col min="12005" max="12257" width="9.140625" style="1298"/>
    <col min="12258" max="12258" width="6.42578125" style="1298" customWidth="1"/>
    <col min="12259" max="12259" width="60.28515625" style="1298" customWidth="1"/>
    <col min="12260" max="12260" width="19.42578125" style="1298" customWidth="1"/>
    <col min="12261" max="12513" width="9.140625" style="1298"/>
    <col min="12514" max="12514" width="6.42578125" style="1298" customWidth="1"/>
    <col min="12515" max="12515" width="60.28515625" style="1298" customWidth="1"/>
    <col min="12516" max="12516" width="19.42578125" style="1298" customWidth="1"/>
    <col min="12517" max="12769" width="9.140625" style="1298"/>
    <col min="12770" max="12770" width="6.42578125" style="1298" customWidth="1"/>
    <col min="12771" max="12771" width="60.28515625" style="1298" customWidth="1"/>
    <col min="12772" max="12772" width="19.42578125" style="1298" customWidth="1"/>
    <col min="12773" max="13025" width="9.140625" style="1298"/>
    <col min="13026" max="13026" width="6.42578125" style="1298" customWidth="1"/>
    <col min="13027" max="13027" width="60.28515625" style="1298" customWidth="1"/>
    <col min="13028" max="13028" width="19.42578125" style="1298" customWidth="1"/>
    <col min="13029" max="13281" width="9.140625" style="1298"/>
    <col min="13282" max="13282" width="6.42578125" style="1298" customWidth="1"/>
    <col min="13283" max="13283" width="60.28515625" style="1298" customWidth="1"/>
    <col min="13284" max="13284" width="19.42578125" style="1298" customWidth="1"/>
    <col min="13285" max="13537" width="9.140625" style="1298"/>
    <col min="13538" max="13538" width="6.42578125" style="1298" customWidth="1"/>
    <col min="13539" max="13539" width="60.28515625" style="1298" customWidth="1"/>
    <col min="13540" max="13540" width="19.42578125" style="1298" customWidth="1"/>
    <col min="13541" max="13793" width="9.140625" style="1298"/>
    <col min="13794" max="13794" width="6.42578125" style="1298" customWidth="1"/>
    <col min="13795" max="13795" width="60.28515625" style="1298" customWidth="1"/>
    <col min="13796" max="13796" width="19.42578125" style="1298" customWidth="1"/>
    <col min="13797" max="14049" width="9.140625" style="1298"/>
    <col min="14050" max="14050" width="6.42578125" style="1298" customWidth="1"/>
    <col min="14051" max="14051" width="60.28515625" style="1298" customWidth="1"/>
    <col min="14052" max="14052" width="19.42578125" style="1298" customWidth="1"/>
    <col min="14053" max="14305" width="9.140625" style="1298"/>
    <col min="14306" max="14306" width="6.42578125" style="1298" customWidth="1"/>
    <col min="14307" max="14307" width="60.28515625" style="1298" customWidth="1"/>
    <col min="14308" max="14308" width="19.42578125" style="1298" customWidth="1"/>
    <col min="14309" max="14561" width="9.140625" style="1298"/>
    <col min="14562" max="14562" width="6.42578125" style="1298" customWidth="1"/>
    <col min="14563" max="14563" width="60.28515625" style="1298" customWidth="1"/>
    <col min="14564" max="14564" width="19.42578125" style="1298" customWidth="1"/>
    <col min="14565" max="14817" width="9.140625" style="1298"/>
    <col min="14818" max="14818" width="6.42578125" style="1298" customWidth="1"/>
    <col min="14819" max="14819" width="60.28515625" style="1298" customWidth="1"/>
    <col min="14820" max="14820" width="19.42578125" style="1298" customWidth="1"/>
    <col min="14821" max="15073" width="9.140625" style="1298"/>
    <col min="15074" max="15074" width="6.42578125" style="1298" customWidth="1"/>
    <col min="15075" max="15075" width="60.28515625" style="1298" customWidth="1"/>
    <col min="15076" max="15076" width="19.42578125" style="1298" customWidth="1"/>
    <col min="15077" max="15329" width="9.140625" style="1298"/>
    <col min="15330" max="15330" width="6.42578125" style="1298" customWidth="1"/>
    <col min="15331" max="15331" width="60.28515625" style="1298" customWidth="1"/>
    <col min="15332" max="15332" width="19.42578125" style="1298" customWidth="1"/>
    <col min="15333" max="15585" width="9.140625" style="1298"/>
    <col min="15586" max="15586" width="6.42578125" style="1298" customWidth="1"/>
    <col min="15587" max="15587" width="60.28515625" style="1298" customWidth="1"/>
    <col min="15588" max="15588" width="19.42578125" style="1298" customWidth="1"/>
    <col min="15589" max="15841" width="9.140625" style="1298"/>
    <col min="15842" max="15842" width="6.42578125" style="1298" customWidth="1"/>
    <col min="15843" max="15843" width="60.28515625" style="1298" customWidth="1"/>
    <col min="15844" max="15844" width="19.42578125" style="1298" customWidth="1"/>
    <col min="15845" max="16097" width="9.140625" style="1298"/>
    <col min="16098" max="16098" width="6.42578125" style="1298" customWidth="1"/>
    <col min="16099" max="16099" width="60.28515625" style="1298" customWidth="1"/>
    <col min="16100" max="16100" width="19.42578125" style="1298" customWidth="1"/>
    <col min="16101" max="16353" width="9.140625" style="1298"/>
    <col min="16354" max="16354" width="8.85546875" style="1298" customWidth="1"/>
    <col min="16355" max="16355" width="9.140625" style="1298"/>
    <col min="16356" max="16384" width="8.85546875" style="1298" customWidth="1"/>
  </cols>
  <sheetData>
    <row r="1" spans="1:10">
      <c r="A1" s="1557" t="s">
        <v>1071</v>
      </c>
      <c r="B1" s="1557"/>
      <c r="C1" s="1557"/>
    </row>
    <row r="2" spans="1:10" ht="15.75" customHeight="1">
      <c r="A2" s="1558" t="s">
        <v>672</v>
      </c>
      <c r="B2" s="1558"/>
      <c r="C2" s="1558"/>
      <c r="F2" s="1299"/>
    </row>
    <row r="3" spans="1:10" ht="16.5" thickBot="1">
      <c r="A3" s="1300"/>
      <c r="B3" s="1300"/>
      <c r="C3" s="1301"/>
    </row>
    <row r="4" spans="1:10">
      <c r="A4" s="1559" t="s">
        <v>2</v>
      </c>
      <c r="B4" s="1561" t="s">
        <v>3</v>
      </c>
      <c r="C4" s="1296" t="s">
        <v>4</v>
      </c>
    </row>
    <row r="5" spans="1:10" ht="16.5" thickBot="1">
      <c r="A5" s="1560"/>
      <c r="B5" s="1562"/>
      <c r="C5" s="1302" t="s">
        <v>5</v>
      </c>
      <c r="D5" s="1299"/>
      <c r="J5" s="1299"/>
    </row>
    <row r="6" spans="1:10">
      <c r="A6" s="1563">
        <v>1</v>
      </c>
      <c r="B6" s="1303" t="s">
        <v>6</v>
      </c>
      <c r="C6" s="1294">
        <f>SUM(C7:C8)</f>
        <v>1070191</v>
      </c>
      <c r="D6" s="1304"/>
      <c r="F6" s="1299"/>
      <c r="H6" s="1299"/>
    </row>
    <row r="7" spans="1:10">
      <c r="A7" s="1564"/>
      <c r="B7" s="1305" t="s">
        <v>7</v>
      </c>
      <c r="C7" s="1292">
        <v>1038191</v>
      </c>
      <c r="D7" s="1299">
        <f>C7-C7*10%</f>
        <v>934371.9</v>
      </c>
      <c r="F7" s="1299">
        <v>934371.9</v>
      </c>
      <c r="H7" s="1299"/>
    </row>
    <row r="8" spans="1:10" ht="16.5" thickBot="1">
      <c r="A8" s="1565"/>
      <c r="B8" s="1306" t="s">
        <v>8</v>
      </c>
      <c r="C8" s="1292">
        <v>32000</v>
      </c>
      <c r="D8" s="1304"/>
      <c r="F8" s="1299"/>
    </row>
    <row r="9" spans="1:10">
      <c r="A9" s="1553">
        <v>2</v>
      </c>
      <c r="B9" s="1307" t="s">
        <v>9</v>
      </c>
      <c r="C9" s="1308">
        <f>SUM(C10:C14)</f>
        <v>170554.32400000002</v>
      </c>
      <c r="D9" s="1304"/>
      <c r="F9" s="1299"/>
    </row>
    <row r="10" spans="1:10" ht="18" customHeight="1">
      <c r="A10" s="1554"/>
      <c r="B10" s="1309" t="s">
        <v>1434</v>
      </c>
      <c r="C10" s="1291">
        <v>36336.685000000005</v>
      </c>
      <c r="D10" s="1304">
        <f>C7*3.5%</f>
        <v>36336.685000000005</v>
      </c>
      <c r="F10" s="1299"/>
    </row>
    <row r="11" spans="1:10">
      <c r="A11" s="1554"/>
      <c r="B11" s="1309" t="s">
        <v>11</v>
      </c>
      <c r="C11" s="1291">
        <v>56062.313999999998</v>
      </c>
      <c r="D11" s="1304">
        <f>D7*6%</f>
        <v>56062.313999999998</v>
      </c>
      <c r="F11" s="1299"/>
      <c r="G11" s="1186"/>
    </row>
    <row r="12" spans="1:10">
      <c r="A12" s="1554"/>
      <c r="B12" s="1309" t="s">
        <v>1432</v>
      </c>
      <c r="C12" s="1291">
        <v>46718.595000000001</v>
      </c>
      <c r="D12" s="1304">
        <f>D7*5%</f>
        <v>46718.595000000001</v>
      </c>
      <c r="F12" s="1299"/>
    </row>
    <row r="13" spans="1:10">
      <c r="A13" s="1554"/>
      <c r="B13" s="1309" t="s">
        <v>13</v>
      </c>
      <c r="C13" s="1291">
        <v>31145.73</v>
      </c>
      <c r="D13" s="1304">
        <f>C7*3%</f>
        <v>31145.73</v>
      </c>
      <c r="F13" s="1299"/>
    </row>
    <row r="14" spans="1:10" ht="16.5" thickBot="1">
      <c r="A14" s="1555"/>
      <c r="B14" s="1311" t="s">
        <v>14</v>
      </c>
      <c r="C14" s="1293">
        <v>291</v>
      </c>
      <c r="D14" s="1304"/>
      <c r="F14" s="1299"/>
      <c r="H14" s="1299"/>
    </row>
    <row r="15" spans="1:10" ht="32.25" thickBot="1">
      <c r="A15" s="1312">
        <v>3</v>
      </c>
      <c r="B15" s="1313" t="s">
        <v>15</v>
      </c>
      <c r="C15" s="1314">
        <v>10000</v>
      </c>
      <c r="H15" s="1299"/>
    </row>
    <row r="16" spans="1:10">
      <c r="A16" s="1551">
        <v>4</v>
      </c>
      <c r="B16" s="1315" t="s">
        <v>16</v>
      </c>
      <c r="C16" s="1294">
        <f>C17</f>
        <v>3654</v>
      </c>
    </row>
    <row r="17" spans="1:6" ht="16.5" thickBot="1">
      <c r="A17" s="1552"/>
      <c r="B17" s="1306" t="s">
        <v>1078</v>
      </c>
      <c r="C17" s="1290">
        <v>3654</v>
      </c>
      <c r="F17" s="1185"/>
    </row>
    <row r="18" spans="1:6">
      <c r="A18" s="1553">
        <v>5</v>
      </c>
      <c r="B18" s="1307" t="s">
        <v>18</v>
      </c>
      <c r="C18" s="1294">
        <f>SUM(C19:C20)</f>
        <v>113273</v>
      </c>
      <c r="F18" s="1185"/>
    </row>
    <row r="19" spans="1:6">
      <c r="A19" s="1554"/>
      <c r="B19" s="1309" t="s">
        <v>19</v>
      </c>
      <c r="C19" s="1291">
        <v>25013</v>
      </c>
      <c r="F19" s="1185"/>
    </row>
    <row r="20" spans="1:6" s="1316" customFormat="1" ht="15.75" customHeight="1" thickBot="1">
      <c r="A20" s="1555"/>
      <c r="B20" s="1311" t="s">
        <v>477</v>
      </c>
      <c r="C20" s="1290">
        <v>88260</v>
      </c>
      <c r="F20" s="1185"/>
    </row>
    <row r="21" spans="1:6">
      <c r="A21" s="1553">
        <v>6</v>
      </c>
      <c r="B21" s="1315" t="s">
        <v>20</v>
      </c>
      <c r="C21" s="1295">
        <f>SUM(C22:C24)</f>
        <v>183999</v>
      </c>
      <c r="F21" s="1185"/>
    </row>
    <row r="22" spans="1:6">
      <c r="A22" s="1554"/>
      <c r="B22" s="1318" t="s">
        <v>21</v>
      </c>
      <c r="C22" s="1292">
        <v>8955</v>
      </c>
      <c r="F22" s="1185"/>
    </row>
    <row r="23" spans="1:6">
      <c r="A23" s="1554"/>
      <c r="B23" s="1319" t="s">
        <v>22</v>
      </c>
      <c r="C23" s="1292">
        <f>149742+1444</f>
        <v>151186</v>
      </c>
      <c r="F23" s="1185"/>
    </row>
    <row r="24" spans="1:6" ht="16.5" thickBot="1">
      <c r="A24" s="1555"/>
      <c r="B24" s="1320" t="s">
        <v>23</v>
      </c>
      <c r="C24" s="1293">
        <v>23858</v>
      </c>
      <c r="F24" s="1185"/>
    </row>
    <row r="25" spans="1:6">
      <c r="A25" s="1551">
        <v>7</v>
      </c>
      <c r="B25" s="1321" t="s">
        <v>24</v>
      </c>
      <c r="C25" s="1294">
        <f>SUM(C26:C27)</f>
        <v>9579</v>
      </c>
      <c r="F25" s="1185"/>
    </row>
    <row r="26" spans="1:6">
      <c r="A26" s="1556"/>
      <c r="B26" s="1322" t="s">
        <v>1450</v>
      </c>
      <c r="C26" s="1291">
        <v>1179</v>
      </c>
    </row>
    <row r="27" spans="1:6" ht="32.25" thickBot="1">
      <c r="A27" s="1556"/>
      <c r="B27" s="1323" t="s">
        <v>1451</v>
      </c>
      <c r="C27" s="1291">
        <v>8400</v>
      </c>
    </row>
    <row r="28" spans="1:6">
      <c r="A28" s="1551">
        <v>8</v>
      </c>
      <c r="B28" s="1321" t="s">
        <v>25</v>
      </c>
      <c r="C28" s="1294">
        <f>C29</f>
        <v>148948</v>
      </c>
    </row>
    <row r="29" spans="1:6" ht="32.25" thickBot="1">
      <c r="A29" s="1552"/>
      <c r="B29" s="1324" t="s">
        <v>26</v>
      </c>
      <c r="C29" s="1293">
        <v>148948</v>
      </c>
    </row>
    <row r="30" spans="1:6">
      <c r="A30" s="1551">
        <v>9</v>
      </c>
      <c r="B30" s="1325" t="s">
        <v>28</v>
      </c>
      <c r="C30" s="1296">
        <f>SUM(C31:C32)</f>
        <v>107339</v>
      </c>
    </row>
    <row r="31" spans="1:6" ht="31.5">
      <c r="A31" s="1556"/>
      <c r="B31" s="1326" t="s">
        <v>29</v>
      </c>
      <c r="C31" s="1292">
        <v>19129</v>
      </c>
      <c r="D31" s="1185"/>
    </row>
    <row r="32" spans="1:6" ht="32.25" thickBot="1">
      <c r="A32" s="1552"/>
      <c r="B32" s="1327" t="s">
        <v>30</v>
      </c>
      <c r="C32" s="1290">
        <v>88210</v>
      </c>
      <c r="D32" s="1185"/>
      <c r="F32" s="1185"/>
    </row>
    <row r="33" spans="1:6">
      <c r="A33" s="1548">
        <v>10</v>
      </c>
      <c r="B33" s="1328" t="s">
        <v>31</v>
      </c>
      <c r="C33" s="1296">
        <f>SUM(C34:C39)</f>
        <v>682769</v>
      </c>
    </row>
    <row r="34" spans="1:6">
      <c r="A34" s="1549"/>
      <c r="B34" s="1329" t="s">
        <v>32</v>
      </c>
      <c r="C34" s="1292">
        <v>402772</v>
      </c>
      <c r="D34" s="1186"/>
    </row>
    <row r="35" spans="1:6">
      <c r="A35" s="1549"/>
      <c r="B35" s="1330" t="s">
        <v>33</v>
      </c>
      <c r="C35" s="1291">
        <v>90</v>
      </c>
      <c r="D35" s="1185"/>
    </row>
    <row r="36" spans="1:6">
      <c r="A36" s="1549"/>
      <c r="B36" s="1330" t="s">
        <v>34</v>
      </c>
      <c r="C36" s="1291">
        <v>185</v>
      </c>
    </row>
    <row r="37" spans="1:6">
      <c r="A37" s="1549"/>
      <c r="B37" s="1330" t="s">
        <v>35</v>
      </c>
      <c r="C37" s="1291">
        <v>8832</v>
      </c>
    </row>
    <row r="38" spans="1:6">
      <c r="A38" s="1549"/>
      <c r="B38" s="1330" t="s">
        <v>36</v>
      </c>
      <c r="C38" s="1292">
        <f>'страхжизни 192 ед.'!E9</f>
        <v>3000</v>
      </c>
      <c r="D38" s="1317"/>
    </row>
    <row r="39" spans="1:6" ht="16.5" thickBot="1">
      <c r="A39" s="1550"/>
      <c r="B39" s="1331" t="s">
        <v>37</v>
      </c>
      <c r="C39" s="1293">
        <v>267890</v>
      </c>
      <c r="D39" s="1299"/>
    </row>
    <row r="40" spans="1:6" ht="16.5" thickBot="1">
      <c r="A40" s="1332"/>
      <c r="B40" s="1333" t="s">
        <v>38</v>
      </c>
      <c r="C40" s="1334">
        <f>C33+C30+C28+C25+C21+C18+C16+C15+C9+C6</f>
        <v>2500306.324</v>
      </c>
      <c r="D40" s="1304">
        <f>C40/1.12</f>
        <v>2232416.3607142856</v>
      </c>
      <c r="E40" s="1317">
        <f>D40*12%</f>
        <v>267889.96328571427</v>
      </c>
      <c r="F40" s="1317"/>
    </row>
    <row r="41" spans="1:6">
      <c r="A41" s="1336"/>
      <c r="D41" s="1317"/>
      <c r="E41" s="1317"/>
    </row>
    <row r="42" spans="1:6">
      <c r="A42" s="1337"/>
      <c r="B42" s="1337"/>
      <c r="C42" s="1345"/>
      <c r="D42" s="1299"/>
    </row>
    <row r="43" spans="1:6">
      <c r="A43" s="1337" t="s">
        <v>640</v>
      </c>
      <c r="B43" s="1337"/>
      <c r="C43" s="1345" t="s">
        <v>1167</v>
      </c>
    </row>
    <row r="44" spans="1:6">
      <c r="A44" s="1337"/>
      <c r="B44" s="1337"/>
      <c r="C44" s="1345"/>
    </row>
    <row r="45" spans="1:6">
      <c r="A45" s="1337"/>
      <c r="B45" s="1337"/>
      <c r="C45" s="1345"/>
    </row>
    <row r="46" spans="1:6">
      <c r="A46" s="1337" t="s">
        <v>1166</v>
      </c>
      <c r="B46" s="1339"/>
      <c r="C46" s="1346" t="s">
        <v>1168</v>
      </c>
    </row>
    <row r="47" spans="1:6">
      <c r="A47" s="1339"/>
      <c r="B47" s="1339"/>
      <c r="C47" s="1347"/>
    </row>
    <row r="48" spans="1:6">
      <c r="A48" s="1337"/>
      <c r="B48" s="1339"/>
      <c r="C48" s="1345"/>
    </row>
  </sheetData>
  <mergeCells count="13">
    <mergeCell ref="A33:A39"/>
    <mergeCell ref="A16:A17"/>
    <mergeCell ref="A18:A20"/>
    <mergeCell ref="A21:A24"/>
    <mergeCell ref="A25:A27"/>
    <mergeCell ref="A28:A29"/>
    <mergeCell ref="A30:A32"/>
    <mergeCell ref="A9:A14"/>
    <mergeCell ref="A1:C1"/>
    <mergeCell ref="A2:C2"/>
    <mergeCell ref="A4:A5"/>
    <mergeCell ref="B4:B5"/>
    <mergeCell ref="A6:A8"/>
  </mergeCells>
  <pageMargins left="0.70866141732283472" right="0.70866141732283472" top="0.74803149606299213" bottom="0.74803149606299213" header="0.31496062992125984" footer="0.31496062992125984"/>
  <pageSetup paperSize="9" scale="9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48"/>
  <sheetViews>
    <sheetView view="pageBreakPreview" zoomScale="80" zoomScaleNormal="100" zoomScaleSheetLayoutView="80" workbookViewId="0">
      <pane ySplit="1" topLeftCell="A20" activePane="bottomLeft" state="frozen"/>
      <selection pane="bottomLeft" activeCell="A43" sqref="A43:C43"/>
    </sheetView>
  </sheetViews>
  <sheetFormatPr defaultRowHeight="15.75"/>
  <cols>
    <col min="1" max="1" width="6.42578125" style="1298" customWidth="1"/>
    <col min="2" max="2" width="65.28515625" style="1298" customWidth="1"/>
    <col min="3" max="3" width="23.42578125" style="1186" customWidth="1"/>
    <col min="4" max="4" width="19.28515625" style="1298" bestFit="1" customWidth="1"/>
    <col min="5" max="5" width="16.5703125" style="1298" customWidth="1"/>
    <col min="6" max="6" width="20.5703125" style="1298" customWidth="1"/>
    <col min="7" max="7" width="9.140625" style="1298"/>
    <col min="8" max="8" width="19.85546875" style="1298" customWidth="1"/>
    <col min="9" max="9" width="9.140625" style="1298"/>
    <col min="10" max="10" width="18.7109375" style="1298" customWidth="1"/>
    <col min="11" max="225" width="9.140625" style="1298"/>
    <col min="226" max="226" width="6.42578125" style="1298" customWidth="1"/>
    <col min="227" max="227" width="60.28515625" style="1298" customWidth="1"/>
    <col min="228" max="228" width="19.42578125" style="1298" customWidth="1"/>
    <col min="229" max="481" width="9.140625" style="1298"/>
    <col min="482" max="482" width="6.42578125" style="1298" customWidth="1"/>
    <col min="483" max="483" width="60.28515625" style="1298" customWidth="1"/>
    <col min="484" max="484" width="19.42578125" style="1298" customWidth="1"/>
    <col min="485" max="737" width="9.140625" style="1298"/>
    <col min="738" max="738" width="6.42578125" style="1298" customWidth="1"/>
    <col min="739" max="739" width="60.28515625" style="1298" customWidth="1"/>
    <col min="740" max="740" width="19.42578125" style="1298" customWidth="1"/>
    <col min="741" max="993" width="9.140625" style="1298"/>
    <col min="994" max="994" width="6.42578125" style="1298" customWidth="1"/>
    <col min="995" max="995" width="60.28515625" style="1298" customWidth="1"/>
    <col min="996" max="996" width="19.42578125" style="1298" customWidth="1"/>
    <col min="997" max="1249" width="9.140625" style="1298"/>
    <col min="1250" max="1250" width="6.42578125" style="1298" customWidth="1"/>
    <col min="1251" max="1251" width="60.28515625" style="1298" customWidth="1"/>
    <col min="1252" max="1252" width="19.42578125" style="1298" customWidth="1"/>
    <col min="1253" max="1505" width="9.140625" style="1298"/>
    <col min="1506" max="1506" width="6.42578125" style="1298" customWidth="1"/>
    <col min="1507" max="1507" width="60.28515625" style="1298" customWidth="1"/>
    <col min="1508" max="1508" width="19.42578125" style="1298" customWidth="1"/>
    <col min="1509" max="1761" width="9.140625" style="1298"/>
    <col min="1762" max="1762" width="6.42578125" style="1298" customWidth="1"/>
    <col min="1763" max="1763" width="60.28515625" style="1298" customWidth="1"/>
    <col min="1764" max="1764" width="19.42578125" style="1298" customWidth="1"/>
    <col min="1765" max="2017" width="9.140625" style="1298"/>
    <col min="2018" max="2018" width="6.42578125" style="1298" customWidth="1"/>
    <col min="2019" max="2019" width="60.28515625" style="1298" customWidth="1"/>
    <col min="2020" max="2020" width="19.42578125" style="1298" customWidth="1"/>
    <col min="2021" max="2273" width="9.140625" style="1298"/>
    <col min="2274" max="2274" width="6.42578125" style="1298" customWidth="1"/>
    <col min="2275" max="2275" width="60.28515625" style="1298" customWidth="1"/>
    <col min="2276" max="2276" width="19.42578125" style="1298" customWidth="1"/>
    <col min="2277" max="2529" width="9.140625" style="1298"/>
    <col min="2530" max="2530" width="6.42578125" style="1298" customWidth="1"/>
    <col min="2531" max="2531" width="60.28515625" style="1298" customWidth="1"/>
    <col min="2532" max="2532" width="19.42578125" style="1298" customWidth="1"/>
    <col min="2533" max="2785" width="9.140625" style="1298"/>
    <col min="2786" max="2786" width="6.42578125" style="1298" customWidth="1"/>
    <col min="2787" max="2787" width="60.28515625" style="1298" customWidth="1"/>
    <col min="2788" max="2788" width="19.42578125" style="1298" customWidth="1"/>
    <col min="2789" max="3041" width="9.140625" style="1298"/>
    <col min="3042" max="3042" width="6.42578125" style="1298" customWidth="1"/>
    <col min="3043" max="3043" width="60.28515625" style="1298" customWidth="1"/>
    <col min="3044" max="3044" width="19.42578125" style="1298" customWidth="1"/>
    <col min="3045" max="3297" width="9.140625" style="1298"/>
    <col min="3298" max="3298" width="6.42578125" style="1298" customWidth="1"/>
    <col min="3299" max="3299" width="60.28515625" style="1298" customWidth="1"/>
    <col min="3300" max="3300" width="19.42578125" style="1298" customWidth="1"/>
    <col min="3301" max="3553" width="9.140625" style="1298"/>
    <col min="3554" max="3554" width="6.42578125" style="1298" customWidth="1"/>
    <col min="3555" max="3555" width="60.28515625" style="1298" customWidth="1"/>
    <col min="3556" max="3556" width="19.42578125" style="1298" customWidth="1"/>
    <col min="3557" max="3809" width="9.140625" style="1298"/>
    <col min="3810" max="3810" width="6.42578125" style="1298" customWidth="1"/>
    <col min="3811" max="3811" width="60.28515625" style="1298" customWidth="1"/>
    <col min="3812" max="3812" width="19.42578125" style="1298" customWidth="1"/>
    <col min="3813" max="4065" width="9.140625" style="1298"/>
    <col min="4066" max="4066" width="6.42578125" style="1298" customWidth="1"/>
    <col min="4067" max="4067" width="60.28515625" style="1298" customWidth="1"/>
    <col min="4068" max="4068" width="19.42578125" style="1298" customWidth="1"/>
    <col min="4069" max="4321" width="9.140625" style="1298"/>
    <col min="4322" max="4322" width="6.42578125" style="1298" customWidth="1"/>
    <col min="4323" max="4323" width="60.28515625" style="1298" customWidth="1"/>
    <col min="4324" max="4324" width="19.42578125" style="1298" customWidth="1"/>
    <col min="4325" max="4577" width="9.140625" style="1298"/>
    <col min="4578" max="4578" width="6.42578125" style="1298" customWidth="1"/>
    <col min="4579" max="4579" width="60.28515625" style="1298" customWidth="1"/>
    <col min="4580" max="4580" width="19.42578125" style="1298" customWidth="1"/>
    <col min="4581" max="4833" width="9.140625" style="1298"/>
    <col min="4834" max="4834" width="6.42578125" style="1298" customWidth="1"/>
    <col min="4835" max="4835" width="60.28515625" style="1298" customWidth="1"/>
    <col min="4836" max="4836" width="19.42578125" style="1298" customWidth="1"/>
    <col min="4837" max="5089" width="9.140625" style="1298"/>
    <col min="5090" max="5090" width="6.42578125" style="1298" customWidth="1"/>
    <col min="5091" max="5091" width="60.28515625" style="1298" customWidth="1"/>
    <col min="5092" max="5092" width="19.42578125" style="1298" customWidth="1"/>
    <col min="5093" max="5345" width="9.140625" style="1298"/>
    <col min="5346" max="5346" width="6.42578125" style="1298" customWidth="1"/>
    <col min="5347" max="5347" width="60.28515625" style="1298" customWidth="1"/>
    <col min="5348" max="5348" width="19.42578125" style="1298" customWidth="1"/>
    <col min="5349" max="5601" width="9.140625" style="1298"/>
    <col min="5602" max="5602" width="6.42578125" style="1298" customWidth="1"/>
    <col min="5603" max="5603" width="60.28515625" style="1298" customWidth="1"/>
    <col min="5604" max="5604" width="19.42578125" style="1298" customWidth="1"/>
    <col min="5605" max="5857" width="9.140625" style="1298"/>
    <col min="5858" max="5858" width="6.42578125" style="1298" customWidth="1"/>
    <col min="5859" max="5859" width="60.28515625" style="1298" customWidth="1"/>
    <col min="5860" max="5860" width="19.42578125" style="1298" customWidth="1"/>
    <col min="5861" max="6113" width="9.140625" style="1298"/>
    <col min="6114" max="6114" width="6.42578125" style="1298" customWidth="1"/>
    <col min="6115" max="6115" width="60.28515625" style="1298" customWidth="1"/>
    <col min="6116" max="6116" width="19.42578125" style="1298" customWidth="1"/>
    <col min="6117" max="6369" width="9.140625" style="1298"/>
    <col min="6370" max="6370" width="6.42578125" style="1298" customWidth="1"/>
    <col min="6371" max="6371" width="60.28515625" style="1298" customWidth="1"/>
    <col min="6372" max="6372" width="19.42578125" style="1298" customWidth="1"/>
    <col min="6373" max="6625" width="9.140625" style="1298"/>
    <col min="6626" max="6626" width="6.42578125" style="1298" customWidth="1"/>
    <col min="6627" max="6627" width="60.28515625" style="1298" customWidth="1"/>
    <col min="6628" max="6628" width="19.42578125" style="1298" customWidth="1"/>
    <col min="6629" max="6881" width="9.140625" style="1298"/>
    <col min="6882" max="6882" width="6.42578125" style="1298" customWidth="1"/>
    <col min="6883" max="6883" width="60.28515625" style="1298" customWidth="1"/>
    <col min="6884" max="6884" width="19.42578125" style="1298" customWidth="1"/>
    <col min="6885" max="7137" width="9.140625" style="1298"/>
    <col min="7138" max="7138" width="6.42578125" style="1298" customWidth="1"/>
    <col min="7139" max="7139" width="60.28515625" style="1298" customWidth="1"/>
    <col min="7140" max="7140" width="19.42578125" style="1298" customWidth="1"/>
    <col min="7141" max="7393" width="9.140625" style="1298"/>
    <col min="7394" max="7394" width="6.42578125" style="1298" customWidth="1"/>
    <col min="7395" max="7395" width="60.28515625" style="1298" customWidth="1"/>
    <col min="7396" max="7396" width="19.42578125" style="1298" customWidth="1"/>
    <col min="7397" max="7649" width="9.140625" style="1298"/>
    <col min="7650" max="7650" width="6.42578125" style="1298" customWidth="1"/>
    <col min="7651" max="7651" width="60.28515625" style="1298" customWidth="1"/>
    <col min="7652" max="7652" width="19.42578125" style="1298" customWidth="1"/>
    <col min="7653" max="7905" width="9.140625" style="1298"/>
    <col min="7906" max="7906" width="6.42578125" style="1298" customWidth="1"/>
    <col min="7907" max="7907" width="60.28515625" style="1298" customWidth="1"/>
    <col min="7908" max="7908" width="19.42578125" style="1298" customWidth="1"/>
    <col min="7909" max="8161" width="9.140625" style="1298"/>
    <col min="8162" max="8162" width="6.42578125" style="1298" customWidth="1"/>
    <col min="8163" max="8163" width="60.28515625" style="1298" customWidth="1"/>
    <col min="8164" max="8164" width="19.42578125" style="1298" customWidth="1"/>
    <col min="8165" max="8417" width="9.140625" style="1298"/>
    <col min="8418" max="8418" width="6.42578125" style="1298" customWidth="1"/>
    <col min="8419" max="8419" width="60.28515625" style="1298" customWidth="1"/>
    <col min="8420" max="8420" width="19.42578125" style="1298" customWidth="1"/>
    <col min="8421" max="8673" width="9.140625" style="1298"/>
    <col min="8674" max="8674" width="6.42578125" style="1298" customWidth="1"/>
    <col min="8675" max="8675" width="60.28515625" style="1298" customWidth="1"/>
    <col min="8676" max="8676" width="19.42578125" style="1298" customWidth="1"/>
    <col min="8677" max="8929" width="9.140625" style="1298"/>
    <col min="8930" max="8930" width="6.42578125" style="1298" customWidth="1"/>
    <col min="8931" max="8931" width="60.28515625" style="1298" customWidth="1"/>
    <col min="8932" max="8932" width="19.42578125" style="1298" customWidth="1"/>
    <col min="8933" max="9185" width="9.140625" style="1298"/>
    <col min="9186" max="9186" width="6.42578125" style="1298" customWidth="1"/>
    <col min="9187" max="9187" width="60.28515625" style="1298" customWidth="1"/>
    <col min="9188" max="9188" width="19.42578125" style="1298" customWidth="1"/>
    <col min="9189" max="9441" width="9.140625" style="1298"/>
    <col min="9442" max="9442" width="6.42578125" style="1298" customWidth="1"/>
    <col min="9443" max="9443" width="60.28515625" style="1298" customWidth="1"/>
    <col min="9444" max="9444" width="19.42578125" style="1298" customWidth="1"/>
    <col min="9445" max="9697" width="9.140625" style="1298"/>
    <col min="9698" max="9698" width="6.42578125" style="1298" customWidth="1"/>
    <col min="9699" max="9699" width="60.28515625" style="1298" customWidth="1"/>
    <col min="9700" max="9700" width="19.42578125" style="1298" customWidth="1"/>
    <col min="9701" max="9953" width="9.140625" style="1298"/>
    <col min="9954" max="9954" width="6.42578125" style="1298" customWidth="1"/>
    <col min="9955" max="9955" width="60.28515625" style="1298" customWidth="1"/>
    <col min="9956" max="9956" width="19.42578125" style="1298" customWidth="1"/>
    <col min="9957" max="10209" width="9.140625" style="1298"/>
    <col min="10210" max="10210" width="6.42578125" style="1298" customWidth="1"/>
    <col min="10211" max="10211" width="60.28515625" style="1298" customWidth="1"/>
    <col min="10212" max="10212" width="19.42578125" style="1298" customWidth="1"/>
    <col min="10213" max="10465" width="9.140625" style="1298"/>
    <col min="10466" max="10466" width="6.42578125" style="1298" customWidth="1"/>
    <col min="10467" max="10467" width="60.28515625" style="1298" customWidth="1"/>
    <col min="10468" max="10468" width="19.42578125" style="1298" customWidth="1"/>
    <col min="10469" max="10721" width="9.140625" style="1298"/>
    <col min="10722" max="10722" width="6.42578125" style="1298" customWidth="1"/>
    <col min="10723" max="10723" width="60.28515625" style="1298" customWidth="1"/>
    <col min="10724" max="10724" width="19.42578125" style="1298" customWidth="1"/>
    <col min="10725" max="10977" width="9.140625" style="1298"/>
    <col min="10978" max="10978" width="6.42578125" style="1298" customWidth="1"/>
    <col min="10979" max="10979" width="60.28515625" style="1298" customWidth="1"/>
    <col min="10980" max="10980" width="19.42578125" style="1298" customWidth="1"/>
    <col min="10981" max="11233" width="9.140625" style="1298"/>
    <col min="11234" max="11234" width="6.42578125" style="1298" customWidth="1"/>
    <col min="11235" max="11235" width="60.28515625" style="1298" customWidth="1"/>
    <col min="11236" max="11236" width="19.42578125" style="1298" customWidth="1"/>
    <col min="11237" max="11489" width="9.140625" style="1298"/>
    <col min="11490" max="11490" width="6.42578125" style="1298" customWidth="1"/>
    <col min="11491" max="11491" width="60.28515625" style="1298" customWidth="1"/>
    <col min="11492" max="11492" width="19.42578125" style="1298" customWidth="1"/>
    <col min="11493" max="11745" width="9.140625" style="1298"/>
    <col min="11746" max="11746" width="6.42578125" style="1298" customWidth="1"/>
    <col min="11747" max="11747" width="60.28515625" style="1298" customWidth="1"/>
    <col min="11748" max="11748" width="19.42578125" style="1298" customWidth="1"/>
    <col min="11749" max="12001" width="9.140625" style="1298"/>
    <col min="12002" max="12002" width="6.42578125" style="1298" customWidth="1"/>
    <col min="12003" max="12003" width="60.28515625" style="1298" customWidth="1"/>
    <col min="12004" max="12004" width="19.42578125" style="1298" customWidth="1"/>
    <col min="12005" max="12257" width="9.140625" style="1298"/>
    <col min="12258" max="12258" width="6.42578125" style="1298" customWidth="1"/>
    <col min="12259" max="12259" width="60.28515625" style="1298" customWidth="1"/>
    <col min="12260" max="12260" width="19.42578125" style="1298" customWidth="1"/>
    <col min="12261" max="12513" width="9.140625" style="1298"/>
    <col min="12514" max="12514" width="6.42578125" style="1298" customWidth="1"/>
    <col min="12515" max="12515" width="60.28515625" style="1298" customWidth="1"/>
    <col min="12516" max="12516" width="19.42578125" style="1298" customWidth="1"/>
    <col min="12517" max="12769" width="9.140625" style="1298"/>
    <col min="12770" max="12770" width="6.42578125" style="1298" customWidth="1"/>
    <col min="12771" max="12771" width="60.28515625" style="1298" customWidth="1"/>
    <col min="12772" max="12772" width="19.42578125" style="1298" customWidth="1"/>
    <col min="12773" max="13025" width="9.140625" style="1298"/>
    <col min="13026" max="13026" width="6.42578125" style="1298" customWidth="1"/>
    <col min="13027" max="13027" width="60.28515625" style="1298" customWidth="1"/>
    <col min="13028" max="13028" width="19.42578125" style="1298" customWidth="1"/>
    <col min="13029" max="13281" width="9.140625" style="1298"/>
    <col min="13282" max="13282" width="6.42578125" style="1298" customWidth="1"/>
    <col min="13283" max="13283" width="60.28515625" style="1298" customWidth="1"/>
    <col min="13284" max="13284" width="19.42578125" style="1298" customWidth="1"/>
    <col min="13285" max="13537" width="9.140625" style="1298"/>
    <col min="13538" max="13538" width="6.42578125" style="1298" customWidth="1"/>
    <col min="13539" max="13539" width="60.28515625" style="1298" customWidth="1"/>
    <col min="13540" max="13540" width="19.42578125" style="1298" customWidth="1"/>
    <col min="13541" max="13793" width="9.140625" style="1298"/>
    <col min="13794" max="13794" width="6.42578125" style="1298" customWidth="1"/>
    <col min="13795" max="13795" width="60.28515625" style="1298" customWidth="1"/>
    <col min="13796" max="13796" width="19.42578125" style="1298" customWidth="1"/>
    <col min="13797" max="14049" width="9.140625" style="1298"/>
    <col min="14050" max="14050" width="6.42578125" style="1298" customWidth="1"/>
    <col min="14051" max="14051" width="60.28515625" style="1298" customWidth="1"/>
    <col min="14052" max="14052" width="19.42578125" style="1298" customWidth="1"/>
    <col min="14053" max="14305" width="9.140625" style="1298"/>
    <col min="14306" max="14306" width="6.42578125" style="1298" customWidth="1"/>
    <col min="14307" max="14307" width="60.28515625" style="1298" customWidth="1"/>
    <col min="14308" max="14308" width="19.42578125" style="1298" customWidth="1"/>
    <col min="14309" max="14561" width="9.140625" style="1298"/>
    <col min="14562" max="14562" width="6.42578125" style="1298" customWidth="1"/>
    <col min="14563" max="14563" width="60.28515625" style="1298" customWidth="1"/>
    <col min="14564" max="14564" width="19.42578125" style="1298" customWidth="1"/>
    <col min="14565" max="14817" width="9.140625" style="1298"/>
    <col min="14818" max="14818" width="6.42578125" style="1298" customWidth="1"/>
    <col min="14819" max="14819" width="60.28515625" style="1298" customWidth="1"/>
    <col min="14820" max="14820" width="19.42578125" style="1298" customWidth="1"/>
    <col min="14821" max="15073" width="9.140625" style="1298"/>
    <col min="15074" max="15074" width="6.42578125" style="1298" customWidth="1"/>
    <col min="15075" max="15075" width="60.28515625" style="1298" customWidth="1"/>
    <col min="15076" max="15076" width="19.42578125" style="1298" customWidth="1"/>
    <col min="15077" max="15329" width="9.140625" style="1298"/>
    <col min="15330" max="15330" width="6.42578125" style="1298" customWidth="1"/>
    <col min="15331" max="15331" width="60.28515625" style="1298" customWidth="1"/>
    <col min="15332" max="15332" width="19.42578125" style="1298" customWidth="1"/>
    <col min="15333" max="15585" width="9.140625" style="1298"/>
    <col min="15586" max="15586" width="6.42578125" style="1298" customWidth="1"/>
    <col min="15587" max="15587" width="60.28515625" style="1298" customWidth="1"/>
    <col min="15588" max="15588" width="19.42578125" style="1298" customWidth="1"/>
    <col min="15589" max="15841" width="9.140625" style="1298"/>
    <col min="15842" max="15842" width="6.42578125" style="1298" customWidth="1"/>
    <col min="15843" max="15843" width="60.28515625" style="1298" customWidth="1"/>
    <col min="15844" max="15844" width="19.42578125" style="1298" customWidth="1"/>
    <col min="15845" max="16097" width="9.140625" style="1298"/>
    <col min="16098" max="16098" width="6.42578125" style="1298" customWidth="1"/>
    <col min="16099" max="16099" width="60.28515625" style="1298" customWidth="1"/>
    <col min="16100" max="16100" width="19.42578125" style="1298" customWidth="1"/>
    <col min="16101" max="16353" width="9.140625" style="1298"/>
    <col min="16354" max="16354" width="8.85546875" style="1298" customWidth="1"/>
    <col min="16355" max="16355" width="9.140625" style="1298"/>
    <col min="16356" max="16384" width="8.85546875" style="1298" customWidth="1"/>
  </cols>
  <sheetData>
    <row r="1" spans="1:10">
      <c r="A1" s="1557" t="s">
        <v>1285</v>
      </c>
      <c r="B1" s="1557"/>
      <c r="C1" s="1557"/>
    </row>
    <row r="2" spans="1:10" ht="15.75" customHeight="1">
      <c r="A2" s="1558" t="s">
        <v>672</v>
      </c>
      <c r="B2" s="1558"/>
      <c r="C2" s="1558"/>
      <c r="F2" s="1299"/>
    </row>
    <row r="3" spans="1:10" ht="16.5" thickBot="1">
      <c r="A3" s="1300"/>
      <c r="B3" s="1300"/>
      <c r="C3" s="1340"/>
    </row>
    <row r="4" spans="1:10">
      <c r="A4" s="1559" t="s">
        <v>2</v>
      </c>
      <c r="B4" s="1561" t="s">
        <v>3</v>
      </c>
      <c r="C4" s="1341" t="s">
        <v>4</v>
      </c>
    </row>
    <row r="5" spans="1:10" ht="16.5" thickBot="1">
      <c r="A5" s="1560"/>
      <c r="B5" s="1562"/>
      <c r="C5" s="1342" t="s">
        <v>5</v>
      </c>
      <c r="D5" s="1299"/>
      <c r="J5" s="1299"/>
    </row>
    <row r="6" spans="1:10">
      <c r="A6" s="1563">
        <v>1</v>
      </c>
      <c r="B6" s="1303" t="s">
        <v>6</v>
      </c>
      <c r="C6" s="1294">
        <f>SUM(C7:C8)</f>
        <v>1070191</v>
      </c>
      <c r="D6" s="1304"/>
      <c r="F6" s="1299"/>
      <c r="H6" s="1299"/>
    </row>
    <row r="7" spans="1:10">
      <c r="A7" s="1564"/>
      <c r="B7" s="1305" t="s">
        <v>7</v>
      </c>
      <c r="C7" s="1292">
        <v>1038191</v>
      </c>
      <c r="D7" s="1361">
        <v>934371.9</v>
      </c>
      <c r="F7" s="1299"/>
      <c r="H7" s="1299"/>
    </row>
    <row r="8" spans="1:10" ht="16.5" thickBot="1">
      <c r="A8" s="1565"/>
      <c r="B8" s="1306" t="s">
        <v>8</v>
      </c>
      <c r="C8" s="1292">
        <v>32000</v>
      </c>
      <c r="D8" s="1299"/>
      <c r="F8" s="1299"/>
    </row>
    <row r="9" spans="1:10">
      <c r="A9" s="1553">
        <v>2</v>
      </c>
      <c r="B9" s="1307" t="s">
        <v>9</v>
      </c>
      <c r="C9" s="1308">
        <f>SUM(C10:C14)</f>
        <v>180951.23400000003</v>
      </c>
      <c r="D9" s="1304"/>
      <c r="F9" s="1299"/>
    </row>
    <row r="10" spans="1:10" ht="18" customHeight="1">
      <c r="A10" s="1554"/>
      <c r="B10" s="1309" t="s">
        <v>1435</v>
      </c>
      <c r="C10" s="1291">
        <v>46718.595000000001</v>
      </c>
      <c r="D10" s="1304">
        <f>C7*4.5%</f>
        <v>46718.595000000001</v>
      </c>
      <c r="F10" s="1299"/>
    </row>
    <row r="11" spans="1:10">
      <c r="A11" s="1554"/>
      <c r="B11" s="1309" t="s">
        <v>11</v>
      </c>
      <c r="C11" s="1291">
        <v>56062.313999999998</v>
      </c>
      <c r="D11" s="1304">
        <f>D7*6%</f>
        <v>56062.313999999998</v>
      </c>
      <c r="F11" s="1299"/>
    </row>
    <row r="12" spans="1:10">
      <c r="A12" s="1554"/>
      <c r="B12" s="1309" t="s">
        <v>1432</v>
      </c>
      <c r="C12" s="1291">
        <v>46718.595000000001</v>
      </c>
      <c r="D12" s="1304">
        <f>D7*5%</f>
        <v>46718.595000000001</v>
      </c>
      <c r="F12" s="1299"/>
    </row>
    <row r="13" spans="1:10">
      <c r="A13" s="1554"/>
      <c r="B13" s="1309" t="s">
        <v>13</v>
      </c>
      <c r="C13" s="1291">
        <v>31145.73</v>
      </c>
      <c r="D13" s="1304">
        <f>C7*3%</f>
        <v>31145.73</v>
      </c>
      <c r="F13" s="1299"/>
    </row>
    <row r="14" spans="1:10" ht="16.5" thickBot="1">
      <c r="A14" s="1555"/>
      <c r="B14" s="1311" t="s">
        <v>14</v>
      </c>
      <c r="C14" s="1293">
        <v>306</v>
      </c>
      <c r="D14" s="1304"/>
      <c r="F14" s="1299"/>
      <c r="H14" s="1299"/>
    </row>
    <row r="15" spans="1:10" ht="32.25" thickBot="1">
      <c r="A15" s="1312">
        <v>3</v>
      </c>
      <c r="B15" s="1313" t="s">
        <v>15</v>
      </c>
      <c r="C15" s="1314">
        <v>10000</v>
      </c>
      <c r="H15" s="1299"/>
    </row>
    <row r="16" spans="1:10">
      <c r="A16" s="1551">
        <v>4</v>
      </c>
      <c r="B16" s="1315" t="s">
        <v>16</v>
      </c>
      <c r="C16" s="1294">
        <f>C17</f>
        <v>3654</v>
      </c>
    </row>
    <row r="17" spans="1:6" ht="16.5" thickBot="1">
      <c r="A17" s="1552"/>
      <c r="B17" s="1306" t="s">
        <v>1078</v>
      </c>
      <c r="C17" s="1290">
        <v>3654</v>
      </c>
      <c r="F17" s="1185"/>
    </row>
    <row r="18" spans="1:6">
      <c r="A18" s="1553">
        <v>5</v>
      </c>
      <c r="B18" s="1307" t="s">
        <v>18</v>
      </c>
      <c r="C18" s="1294">
        <f>SUM(C19:C20)</f>
        <v>113273</v>
      </c>
      <c r="F18" s="1185"/>
    </row>
    <row r="19" spans="1:6">
      <c r="A19" s="1554"/>
      <c r="B19" s="1309" t="s">
        <v>19</v>
      </c>
      <c r="C19" s="1291">
        <v>25013</v>
      </c>
      <c r="F19" s="1185"/>
    </row>
    <row r="20" spans="1:6" s="1316" customFormat="1" ht="15.75" customHeight="1" thickBot="1">
      <c r="A20" s="1555"/>
      <c r="B20" s="1311" t="s">
        <v>477</v>
      </c>
      <c r="C20" s="1290">
        <v>88260</v>
      </c>
      <c r="F20" s="1185"/>
    </row>
    <row r="21" spans="1:6">
      <c r="A21" s="1553">
        <v>6</v>
      </c>
      <c r="B21" s="1315" t="s">
        <v>20</v>
      </c>
      <c r="C21" s="1295">
        <f>SUM(C22:C24)</f>
        <v>185364</v>
      </c>
      <c r="F21" s="1185"/>
    </row>
    <row r="22" spans="1:6">
      <c r="A22" s="1554"/>
      <c r="B22" s="1318" t="s">
        <v>21</v>
      </c>
      <c r="C22" s="1292">
        <v>8955</v>
      </c>
      <c r="F22" s="1185"/>
    </row>
    <row r="23" spans="1:6">
      <c r="A23" s="1554"/>
      <c r="B23" s="1319" t="s">
        <v>22</v>
      </c>
      <c r="C23" s="1292">
        <f>151186+2200-835</f>
        <v>152551</v>
      </c>
      <c r="D23" s="1298">
        <v>152551</v>
      </c>
      <c r="F23" s="1185"/>
    </row>
    <row r="24" spans="1:6" ht="16.5" thickBot="1">
      <c r="A24" s="1555"/>
      <c r="B24" s="1320" t="s">
        <v>23</v>
      </c>
      <c r="C24" s="1293">
        <v>23858</v>
      </c>
      <c r="F24" s="1185"/>
    </row>
    <row r="25" spans="1:6">
      <c r="A25" s="1551">
        <v>7</v>
      </c>
      <c r="B25" s="1321" t="s">
        <v>24</v>
      </c>
      <c r="C25" s="1294">
        <f>SUM(C26:C27)</f>
        <v>9579</v>
      </c>
      <c r="F25" s="1185"/>
    </row>
    <row r="26" spans="1:6">
      <c r="A26" s="1556"/>
      <c r="B26" s="1322" t="s">
        <v>1450</v>
      </c>
      <c r="C26" s="1291">
        <v>1179</v>
      </c>
    </row>
    <row r="27" spans="1:6" ht="32.25" thickBot="1">
      <c r="A27" s="1556"/>
      <c r="B27" s="1323" t="s">
        <v>1451</v>
      </c>
      <c r="C27" s="1291">
        <v>8400</v>
      </c>
    </row>
    <row r="28" spans="1:6">
      <c r="A28" s="1551">
        <v>8</v>
      </c>
      <c r="B28" s="1321" t="s">
        <v>25</v>
      </c>
      <c r="C28" s="1294">
        <f>C29</f>
        <v>148948</v>
      </c>
    </row>
    <row r="29" spans="1:6" ht="32.25" thickBot="1">
      <c r="A29" s="1552"/>
      <c r="B29" s="1324" t="s">
        <v>26</v>
      </c>
      <c r="C29" s="1293">
        <v>148948</v>
      </c>
    </row>
    <row r="30" spans="1:6">
      <c r="A30" s="1551">
        <v>9</v>
      </c>
      <c r="B30" s="1325" t="s">
        <v>28</v>
      </c>
      <c r="C30" s="1296">
        <f>SUM(C31:C32)</f>
        <v>112287</v>
      </c>
    </row>
    <row r="31" spans="1:6" ht="31.5">
      <c r="A31" s="1556"/>
      <c r="B31" s="1326" t="s">
        <v>29</v>
      </c>
      <c r="C31" s="1292">
        <v>19495</v>
      </c>
      <c r="D31" s="1185"/>
    </row>
    <row r="32" spans="1:6" ht="32.25" thickBot="1">
      <c r="A32" s="1552"/>
      <c r="B32" s="1327" t="s">
        <v>30</v>
      </c>
      <c r="C32" s="1290">
        <v>92792</v>
      </c>
      <c r="D32" s="1185"/>
      <c r="F32" s="1185"/>
    </row>
    <row r="33" spans="1:6">
      <c r="A33" s="1548">
        <v>10</v>
      </c>
      <c r="B33" s="1328" t="s">
        <v>31</v>
      </c>
      <c r="C33" s="1296">
        <f>SUM(C34:C39)</f>
        <v>664683</v>
      </c>
    </row>
    <row r="34" spans="1:6">
      <c r="A34" s="1549"/>
      <c r="B34" s="1329" t="s">
        <v>32</v>
      </c>
      <c r="C34" s="1292">
        <v>385103</v>
      </c>
      <c r="D34" s="1317"/>
    </row>
    <row r="35" spans="1:6">
      <c r="A35" s="1549"/>
      <c r="B35" s="1330" t="s">
        <v>33</v>
      </c>
      <c r="C35" s="1291">
        <v>90</v>
      </c>
      <c r="D35" s="1185"/>
    </row>
    <row r="36" spans="1:6">
      <c r="A36" s="1549"/>
      <c r="B36" s="1330" t="s">
        <v>34</v>
      </c>
      <c r="C36" s="1291">
        <v>185</v>
      </c>
    </row>
    <row r="37" spans="1:6">
      <c r="A37" s="1549"/>
      <c r="B37" s="1330" t="s">
        <v>35</v>
      </c>
      <c r="C37" s="1291">
        <v>8832</v>
      </c>
    </row>
    <row r="38" spans="1:6">
      <c r="A38" s="1549"/>
      <c r="B38" s="1330" t="s">
        <v>36</v>
      </c>
      <c r="C38" s="1292">
        <f>'страхжизни 192 ед.'!E9</f>
        <v>3000</v>
      </c>
      <c r="D38" s="1317"/>
    </row>
    <row r="39" spans="1:6" ht="16.5" thickBot="1">
      <c r="A39" s="1550"/>
      <c r="B39" s="1331" t="s">
        <v>37</v>
      </c>
      <c r="C39" s="1293">
        <v>267473</v>
      </c>
      <c r="D39" s="1299"/>
      <c r="E39" s="1317"/>
    </row>
    <row r="40" spans="1:6" ht="16.5" thickBot="1">
      <c r="A40" s="1332"/>
      <c r="B40" s="1333" t="s">
        <v>38</v>
      </c>
      <c r="C40" s="1334">
        <f>C33+C30+C28+C25+C21+C18+C16+C15+C9+C6</f>
        <v>2498930.2340000002</v>
      </c>
      <c r="D40" s="1304">
        <f>C40/1.12</f>
        <v>2231187.7089285715</v>
      </c>
      <c r="E40" s="1317">
        <f>D40*12%</f>
        <v>267742.52507142856</v>
      </c>
      <c r="F40" s="1317"/>
    </row>
    <row r="41" spans="1:6">
      <c r="A41" s="1336"/>
      <c r="D41" s="1317"/>
    </row>
    <row r="42" spans="1:6">
      <c r="A42" s="1337"/>
      <c r="B42" s="1337"/>
      <c r="C42" s="1338"/>
      <c r="D42" s="1299"/>
    </row>
    <row r="43" spans="1:6">
      <c r="A43" s="1337" t="s">
        <v>640</v>
      </c>
      <c r="B43" s="1337"/>
      <c r="C43" s="1338" t="s">
        <v>1167</v>
      </c>
    </row>
    <row r="44" spans="1:6">
      <c r="A44" s="1337"/>
      <c r="B44" s="1337"/>
      <c r="C44" s="1338"/>
    </row>
    <row r="45" spans="1:6">
      <c r="A45" s="1337"/>
      <c r="B45" s="1337"/>
      <c r="C45" s="1338"/>
    </row>
    <row r="46" spans="1:6">
      <c r="A46" s="1337" t="s">
        <v>1166</v>
      </c>
      <c r="B46" s="1339"/>
      <c r="C46" s="1343" t="s">
        <v>1168</v>
      </c>
    </row>
    <row r="47" spans="1:6">
      <c r="A47" s="1339"/>
      <c r="B47" s="1339"/>
      <c r="C47" s="1344"/>
    </row>
    <row r="48" spans="1:6">
      <c r="A48" s="1337"/>
      <c r="B48" s="1339"/>
      <c r="C48" s="1338"/>
    </row>
  </sheetData>
  <mergeCells count="13">
    <mergeCell ref="A33:A39"/>
    <mergeCell ref="A16:A17"/>
    <mergeCell ref="A18:A20"/>
    <mergeCell ref="A21:A24"/>
    <mergeCell ref="A25:A27"/>
    <mergeCell ref="A28:A29"/>
    <mergeCell ref="A30:A32"/>
    <mergeCell ref="A9:A14"/>
    <mergeCell ref="A1:C1"/>
    <mergeCell ref="A2:C2"/>
    <mergeCell ref="A4:A5"/>
    <mergeCell ref="B4:B5"/>
    <mergeCell ref="A6:A8"/>
  </mergeCells>
  <pageMargins left="0.70866141732283472" right="0.70866141732283472" top="0.74803149606299213" bottom="0.74803149606299213" header="0.31496062992125984" footer="0.31496062992125984"/>
  <pageSetup paperSize="9" scale="9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U214"/>
  <sheetViews>
    <sheetView view="pageBreakPreview" zoomScale="55" zoomScaleNormal="65" zoomScaleSheetLayoutView="55" workbookViewId="0">
      <selection activeCell="Z4" sqref="Z4"/>
    </sheetView>
  </sheetViews>
  <sheetFormatPr defaultRowHeight="30.75" customHeight="1"/>
  <cols>
    <col min="1" max="1" width="5.85546875" style="1055" customWidth="1"/>
    <col min="2" max="2" width="38.140625" style="1046" customWidth="1"/>
    <col min="3" max="3" width="28.7109375" style="1046" hidden="1" customWidth="1"/>
    <col min="4" max="4" width="12.7109375" style="1055" customWidth="1"/>
    <col min="5" max="5" width="8.140625" style="1066" customWidth="1"/>
    <col min="6" max="6" width="15.5703125" style="1055" customWidth="1"/>
    <col min="7" max="7" width="9.28515625" style="1055" customWidth="1"/>
    <col min="8" max="8" width="11.85546875" style="1055" customWidth="1"/>
    <col min="9" max="9" width="8.85546875" style="1055" customWidth="1"/>
    <col min="10" max="10" width="18.140625" style="1055" hidden="1" customWidth="1"/>
    <col min="11" max="11" width="16.42578125" style="1055" customWidth="1"/>
    <col min="12" max="13" width="16.5703125" style="1055" hidden="1" customWidth="1"/>
    <col min="14" max="14" width="14.28515625" style="1055" customWidth="1"/>
    <col min="15" max="15" width="12.28515625" style="1055" customWidth="1"/>
    <col min="16" max="16" width="4.140625" style="1055" customWidth="1"/>
    <col min="17" max="17" width="12.7109375" style="1064" customWidth="1"/>
    <col min="18" max="18" width="5.140625" style="1055" customWidth="1"/>
    <col min="19" max="19" width="11.140625" style="1055" customWidth="1"/>
    <col min="20" max="20" width="6.140625" style="1055" customWidth="1"/>
    <col min="21" max="21" width="12.28515625" style="1055" customWidth="1"/>
    <col min="22" max="22" width="5.140625" style="1055" customWidth="1"/>
    <col min="23" max="23" width="12.7109375" style="1055" customWidth="1"/>
    <col min="24" max="24" width="10.140625" style="1055" hidden="1" customWidth="1"/>
    <col min="25" max="25" width="5.85546875" style="1055" customWidth="1"/>
    <col min="26" max="26" width="8" style="1055" customWidth="1"/>
    <col min="27" max="27" width="17.42578125" style="1055" customWidth="1"/>
    <col min="28" max="28" width="7" style="1055" customWidth="1"/>
    <col min="29" max="29" width="15.42578125" style="1055" customWidth="1"/>
    <col min="30" max="30" width="16.5703125" style="1055" customWidth="1"/>
    <col min="31" max="31" width="16.140625" style="1055" customWidth="1"/>
    <col min="32" max="32" width="18" style="1055" customWidth="1"/>
    <col min="33" max="33" width="17.140625" style="1055" customWidth="1"/>
    <col min="34" max="34" width="18.85546875" style="1055" customWidth="1"/>
    <col min="35" max="36" width="26" style="1046" customWidth="1"/>
    <col min="37" max="37" width="35.42578125" style="1062" customWidth="1"/>
    <col min="38" max="38" width="27.5703125" style="1062" customWidth="1"/>
    <col min="39" max="39" width="9.140625" style="1046"/>
    <col min="40" max="40" width="26.7109375" style="1046" customWidth="1"/>
    <col min="41" max="41" width="17.28515625" style="1046" customWidth="1"/>
    <col min="42" max="207" width="9.140625" style="1046"/>
    <col min="208" max="209" width="3" style="1046" customWidth="1"/>
    <col min="210" max="210" width="4.42578125" style="1046" bestFit="1" customWidth="1"/>
    <col min="211" max="211" width="59.140625" style="1046" customWidth="1"/>
    <col min="212" max="212" width="0" style="1046" hidden="1" customWidth="1"/>
    <col min="213" max="213" width="12.7109375" style="1046" customWidth="1"/>
    <col min="214" max="214" width="8.28515625" style="1046" customWidth="1"/>
    <col min="215" max="215" width="14.42578125" style="1046" customWidth="1"/>
    <col min="216" max="216" width="7.28515625" style="1046" customWidth="1"/>
    <col min="217" max="217" width="9.5703125" style="1046" customWidth="1"/>
    <col min="218" max="218" width="17" style="1046" customWidth="1"/>
    <col min="219" max="219" width="0" style="1046" hidden="1" customWidth="1"/>
    <col min="220" max="220" width="15.140625" style="1046" customWidth="1"/>
    <col min="221" max="221" width="13.85546875" style="1046" customWidth="1"/>
    <col min="222" max="222" width="4.42578125" style="1046" customWidth="1"/>
    <col min="223" max="223" width="12.28515625" style="1046" customWidth="1"/>
    <col min="224" max="224" width="6" style="1046" customWidth="1"/>
    <col min="225" max="225" width="19.85546875" style="1046" customWidth="1"/>
    <col min="226" max="226" width="5.140625" style="1046" customWidth="1"/>
    <col min="227" max="227" width="17.28515625" style="1046" bestFit="1" customWidth="1"/>
    <col min="228" max="229" width="0" style="1046" hidden="1" customWidth="1"/>
    <col min="230" max="230" width="5.85546875" style="1046" customWidth="1"/>
    <col min="231" max="231" width="10.42578125" style="1046" customWidth="1"/>
    <col min="232" max="232" width="15.42578125" style="1046" customWidth="1"/>
    <col min="233" max="233" width="11.85546875" style="1046" customWidth="1"/>
    <col min="234" max="234" width="16.42578125" style="1046" customWidth="1"/>
    <col min="235" max="235" width="17.28515625" style="1046" customWidth="1"/>
    <col min="236" max="236" width="19" style="1046" bestFit="1" customWidth="1"/>
    <col min="237" max="237" width="20" style="1046" customWidth="1"/>
    <col min="238" max="238" width="18.7109375" style="1046" bestFit="1" customWidth="1"/>
    <col min="239" max="239" width="17.85546875" style="1046" bestFit="1" customWidth="1"/>
    <col min="240" max="240" width="16.42578125" style="1046" bestFit="1" customWidth="1"/>
    <col min="241" max="255" width="9.140625" style="1046"/>
    <col min="256" max="256" width="6.85546875" style="1046" customWidth="1"/>
    <col min="257" max="257" width="54.85546875" style="1046" customWidth="1"/>
    <col min="258" max="258" width="0" style="1046" hidden="1" customWidth="1"/>
    <col min="259" max="259" width="12.7109375" style="1046" customWidth="1"/>
    <col min="260" max="260" width="13.85546875" style="1046" customWidth="1"/>
    <col min="261" max="261" width="19.42578125" style="1046" customWidth="1"/>
    <col min="262" max="262" width="9.28515625" style="1046" customWidth="1"/>
    <col min="263" max="263" width="11.85546875" style="1046" customWidth="1"/>
    <col min="264" max="264" width="16.42578125" style="1046" customWidth="1"/>
    <col min="265" max="265" width="0" style="1046" hidden="1" customWidth="1"/>
    <col min="266" max="266" width="16.5703125" style="1046" customWidth="1"/>
    <col min="267" max="268" width="0" style="1046" hidden="1" customWidth="1"/>
    <col min="269" max="270" width="16.5703125" style="1046" customWidth="1"/>
    <col min="271" max="271" width="5.140625" style="1046" customWidth="1"/>
    <col min="272" max="272" width="16.5703125" style="1046" customWidth="1"/>
    <col min="273" max="273" width="5.140625" style="1046" customWidth="1"/>
    <col min="274" max="274" width="16.5703125" style="1046" customWidth="1"/>
    <col min="275" max="275" width="5.140625" style="1046" customWidth="1"/>
    <col min="276" max="276" width="16.5703125" style="1046" customWidth="1"/>
    <col min="277" max="277" width="5.140625" style="1046" customWidth="1"/>
    <col min="278" max="278" width="15.28515625" style="1046" customWidth="1"/>
    <col min="279" max="279" width="4.7109375" style="1046" customWidth="1"/>
    <col min="280" max="280" width="0" style="1046" hidden="1" customWidth="1"/>
    <col min="281" max="281" width="6.5703125" style="1046" customWidth="1"/>
    <col min="282" max="282" width="10.5703125" style="1046" customWidth="1"/>
    <col min="283" max="283" width="17.42578125" style="1046" customWidth="1"/>
    <col min="284" max="284" width="7.7109375" style="1046" customWidth="1"/>
    <col min="285" max="285" width="15.42578125" style="1046" customWidth="1"/>
    <col min="286" max="286" width="16.42578125" style="1046" customWidth="1"/>
    <col min="287" max="287" width="17.28515625" style="1046" customWidth="1"/>
    <col min="288" max="288" width="0" style="1046" hidden="1" customWidth="1"/>
    <col min="289" max="289" width="19" style="1046" customWidth="1"/>
    <col min="290" max="292" width="26" style="1046" customWidth="1"/>
    <col min="293" max="293" width="35.42578125" style="1046" customWidth="1"/>
    <col min="294" max="294" width="27.5703125" style="1046" customWidth="1"/>
    <col min="295" max="295" width="9.140625" style="1046"/>
    <col min="296" max="296" width="26.7109375" style="1046" customWidth="1"/>
    <col min="297" max="297" width="17.28515625" style="1046" customWidth="1"/>
    <col min="298" max="463" width="9.140625" style="1046"/>
    <col min="464" max="465" width="3" style="1046" customWidth="1"/>
    <col min="466" max="466" width="4.42578125" style="1046" bestFit="1" customWidth="1"/>
    <col min="467" max="467" width="59.140625" style="1046" customWidth="1"/>
    <col min="468" max="468" width="0" style="1046" hidden="1" customWidth="1"/>
    <col min="469" max="469" width="12.7109375" style="1046" customWidth="1"/>
    <col min="470" max="470" width="8.28515625" style="1046" customWidth="1"/>
    <col min="471" max="471" width="14.42578125" style="1046" customWidth="1"/>
    <col min="472" max="472" width="7.28515625" style="1046" customWidth="1"/>
    <col min="473" max="473" width="9.5703125" style="1046" customWidth="1"/>
    <col min="474" max="474" width="17" style="1046" customWidth="1"/>
    <col min="475" max="475" width="0" style="1046" hidden="1" customWidth="1"/>
    <col min="476" max="476" width="15.140625" style="1046" customWidth="1"/>
    <col min="477" max="477" width="13.85546875" style="1046" customWidth="1"/>
    <col min="478" max="478" width="4.42578125" style="1046" customWidth="1"/>
    <col min="479" max="479" width="12.28515625" style="1046" customWidth="1"/>
    <col min="480" max="480" width="6" style="1046" customWidth="1"/>
    <col min="481" max="481" width="19.85546875" style="1046" customWidth="1"/>
    <col min="482" max="482" width="5.140625" style="1046" customWidth="1"/>
    <col min="483" max="483" width="17.28515625" style="1046" bestFit="1" customWidth="1"/>
    <col min="484" max="485" width="0" style="1046" hidden="1" customWidth="1"/>
    <col min="486" max="486" width="5.85546875" style="1046" customWidth="1"/>
    <col min="487" max="487" width="10.42578125" style="1046" customWidth="1"/>
    <col min="488" max="488" width="15.42578125" style="1046" customWidth="1"/>
    <col min="489" max="489" width="11.85546875" style="1046" customWidth="1"/>
    <col min="490" max="490" width="16.42578125" style="1046" customWidth="1"/>
    <col min="491" max="491" width="17.28515625" style="1046" customWidth="1"/>
    <col min="492" max="492" width="19" style="1046" bestFit="1" customWidth="1"/>
    <col min="493" max="493" width="20" style="1046" customWidth="1"/>
    <col min="494" max="494" width="18.7109375" style="1046" bestFit="1" customWidth="1"/>
    <col min="495" max="495" width="17.85546875" style="1046" bestFit="1" customWidth="1"/>
    <col min="496" max="496" width="16.42578125" style="1046" bestFit="1" customWidth="1"/>
    <col min="497" max="511" width="9.140625" style="1046"/>
    <col min="512" max="512" width="6.85546875" style="1046" customWidth="1"/>
    <col min="513" max="513" width="54.85546875" style="1046" customWidth="1"/>
    <col min="514" max="514" width="0" style="1046" hidden="1" customWidth="1"/>
    <col min="515" max="515" width="12.7109375" style="1046" customWidth="1"/>
    <col min="516" max="516" width="13.85546875" style="1046" customWidth="1"/>
    <col min="517" max="517" width="19.42578125" style="1046" customWidth="1"/>
    <col min="518" max="518" width="9.28515625" style="1046" customWidth="1"/>
    <col min="519" max="519" width="11.85546875" style="1046" customWidth="1"/>
    <col min="520" max="520" width="16.42578125" style="1046" customWidth="1"/>
    <col min="521" max="521" width="0" style="1046" hidden="1" customWidth="1"/>
    <col min="522" max="522" width="16.5703125" style="1046" customWidth="1"/>
    <col min="523" max="524" width="0" style="1046" hidden="1" customWidth="1"/>
    <col min="525" max="526" width="16.5703125" style="1046" customWidth="1"/>
    <col min="527" max="527" width="5.140625" style="1046" customWidth="1"/>
    <col min="528" max="528" width="16.5703125" style="1046" customWidth="1"/>
    <col min="529" max="529" width="5.140625" style="1046" customWidth="1"/>
    <col min="530" max="530" width="16.5703125" style="1046" customWidth="1"/>
    <col min="531" max="531" width="5.140625" style="1046" customWidth="1"/>
    <col min="532" max="532" width="16.5703125" style="1046" customWidth="1"/>
    <col min="533" max="533" width="5.140625" style="1046" customWidth="1"/>
    <col min="534" max="534" width="15.28515625" style="1046" customWidth="1"/>
    <col min="535" max="535" width="4.7109375" style="1046" customWidth="1"/>
    <col min="536" max="536" width="0" style="1046" hidden="1" customWidth="1"/>
    <col min="537" max="537" width="6.5703125" style="1046" customWidth="1"/>
    <col min="538" max="538" width="10.5703125" style="1046" customWidth="1"/>
    <col min="539" max="539" width="17.42578125" style="1046" customWidth="1"/>
    <col min="540" max="540" width="7.7109375" style="1046" customWidth="1"/>
    <col min="541" max="541" width="15.42578125" style="1046" customWidth="1"/>
    <col min="542" max="542" width="16.42578125" style="1046" customWidth="1"/>
    <col min="543" max="543" width="17.28515625" style="1046" customWidth="1"/>
    <col min="544" max="544" width="0" style="1046" hidden="1" customWidth="1"/>
    <col min="545" max="545" width="19" style="1046" customWidth="1"/>
    <col min="546" max="548" width="26" style="1046" customWidth="1"/>
    <col min="549" max="549" width="35.42578125" style="1046" customWidth="1"/>
    <col min="550" max="550" width="27.5703125" style="1046" customWidth="1"/>
    <col min="551" max="551" width="9.140625" style="1046"/>
    <col min="552" max="552" width="26.7109375" style="1046" customWidth="1"/>
    <col min="553" max="553" width="17.28515625" style="1046" customWidth="1"/>
    <col min="554" max="719" width="9.140625" style="1046"/>
    <col min="720" max="721" width="3" style="1046" customWidth="1"/>
    <col min="722" max="722" width="4.42578125" style="1046" bestFit="1" customWidth="1"/>
    <col min="723" max="723" width="59.140625" style="1046" customWidth="1"/>
    <col min="724" max="724" width="0" style="1046" hidden="1" customWidth="1"/>
    <col min="725" max="725" width="12.7109375" style="1046" customWidth="1"/>
    <col min="726" max="726" width="8.28515625" style="1046" customWidth="1"/>
    <col min="727" max="727" width="14.42578125" style="1046" customWidth="1"/>
    <col min="728" max="728" width="7.28515625" style="1046" customWidth="1"/>
    <col min="729" max="729" width="9.5703125" style="1046" customWidth="1"/>
    <col min="730" max="730" width="17" style="1046" customWidth="1"/>
    <col min="731" max="731" width="0" style="1046" hidden="1" customWidth="1"/>
    <col min="732" max="732" width="15.140625" style="1046" customWidth="1"/>
    <col min="733" max="733" width="13.85546875" style="1046" customWidth="1"/>
    <col min="734" max="734" width="4.42578125" style="1046" customWidth="1"/>
    <col min="735" max="735" width="12.28515625" style="1046" customWidth="1"/>
    <col min="736" max="736" width="6" style="1046" customWidth="1"/>
    <col min="737" max="737" width="19.85546875" style="1046" customWidth="1"/>
    <col min="738" max="738" width="5.140625" style="1046" customWidth="1"/>
    <col min="739" max="739" width="17.28515625" style="1046" bestFit="1" customWidth="1"/>
    <col min="740" max="741" width="0" style="1046" hidden="1" customWidth="1"/>
    <col min="742" max="742" width="5.85546875" style="1046" customWidth="1"/>
    <col min="743" max="743" width="10.42578125" style="1046" customWidth="1"/>
    <col min="744" max="744" width="15.42578125" style="1046" customWidth="1"/>
    <col min="745" max="745" width="11.85546875" style="1046" customWidth="1"/>
    <col min="746" max="746" width="16.42578125" style="1046" customWidth="1"/>
    <col min="747" max="747" width="17.28515625" style="1046" customWidth="1"/>
    <col min="748" max="748" width="19" style="1046" bestFit="1" customWidth="1"/>
    <col min="749" max="749" width="20" style="1046" customWidth="1"/>
    <col min="750" max="750" width="18.7109375" style="1046" bestFit="1" customWidth="1"/>
    <col min="751" max="751" width="17.85546875" style="1046" bestFit="1" customWidth="1"/>
    <col min="752" max="752" width="16.42578125" style="1046" bestFit="1" customWidth="1"/>
    <col min="753" max="767" width="9.140625" style="1046"/>
    <col min="768" max="768" width="6.85546875" style="1046" customWidth="1"/>
    <col min="769" max="769" width="54.85546875" style="1046" customWidth="1"/>
    <col min="770" max="770" width="0" style="1046" hidden="1" customWidth="1"/>
    <col min="771" max="771" width="12.7109375" style="1046" customWidth="1"/>
    <col min="772" max="772" width="13.85546875" style="1046" customWidth="1"/>
    <col min="773" max="773" width="19.42578125" style="1046" customWidth="1"/>
    <col min="774" max="774" width="9.28515625" style="1046" customWidth="1"/>
    <col min="775" max="775" width="11.85546875" style="1046" customWidth="1"/>
    <col min="776" max="776" width="16.42578125" style="1046" customWidth="1"/>
    <col min="777" max="777" width="0" style="1046" hidden="1" customWidth="1"/>
    <col min="778" max="778" width="16.5703125" style="1046" customWidth="1"/>
    <col min="779" max="780" width="0" style="1046" hidden="1" customWidth="1"/>
    <col min="781" max="782" width="16.5703125" style="1046" customWidth="1"/>
    <col min="783" max="783" width="5.140625" style="1046" customWidth="1"/>
    <col min="784" max="784" width="16.5703125" style="1046" customWidth="1"/>
    <col min="785" max="785" width="5.140625" style="1046" customWidth="1"/>
    <col min="786" max="786" width="16.5703125" style="1046" customWidth="1"/>
    <col min="787" max="787" width="5.140625" style="1046" customWidth="1"/>
    <col min="788" max="788" width="16.5703125" style="1046" customWidth="1"/>
    <col min="789" max="789" width="5.140625" style="1046" customWidth="1"/>
    <col min="790" max="790" width="15.28515625" style="1046" customWidth="1"/>
    <col min="791" max="791" width="4.7109375" style="1046" customWidth="1"/>
    <col min="792" max="792" width="0" style="1046" hidden="1" customWidth="1"/>
    <col min="793" max="793" width="6.5703125" style="1046" customWidth="1"/>
    <col min="794" max="794" width="10.5703125" style="1046" customWidth="1"/>
    <col min="795" max="795" width="17.42578125" style="1046" customWidth="1"/>
    <col min="796" max="796" width="7.7109375" style="1046" customWidth="1"/>
    <col min="797" max="797" width="15.42578125" style="1046" customWidth="1"/>
    <col min="798" max="798" width="16.42578125" style="1046" customWidth="1"/>
    <col min="799" max="799" width="17.28515625" style="1046" customWidth="1"/>
    <col min="800" max="800" width="0" style="1046" hidden="1" customWidth="1"/>
    <col min="801" max="801" width="19" style="1046" customWidth="1"/>
    <col min="802" max="804" width="26" style="1046" customWidth="1"/>
    <col min="805" max="805" width="35.42578125" style="1046" customWidth="1"/>
    <col min="806" max="806" width="27.5703125" style="1046" customWidth="1"/>
    <col min="807" max="807" width="9.140625" style="1046"/>
    <col min="808" max="808" width="26.7109375" style="1046" customWidth="1"/>
    <col min="809" max="809" width="17.28515625" style="1046" customWidth="1"/>
    <col min="810" max="975" width="9.140625" style="1046"/>
    <col min="976" max="977" width="3" style="1046" customWidth="1"/>
    <col min="978" max="978" width="4.42578125" style="1046" bestFit="1" customWidth="1"/>
    <col min="979" max="979" width="59.140625" style="1046" customWidth="1"/>
    <col min="980" max="980" width="0" style="1046" hidden="1" customWidth="1"/>
    <col min="981" max="981" width="12.7109375" style="1046" customWidth="1"/>
    <col min="982" max="982" width="8.28515625" style="1046" customWidth="1"/>
    <col min="983" max="983" width="14.42578125" style="1046" customWidth="1"/>
    <col min="984" max="984" width="7.28515625" style="1046" customWidth="1"/>
    <col min="985" max="985" width="9.5703125" style="1046" customWidth="1"/>
    <col min="986" max="986" width="17" style="1046" customWidth="1"/>
    <col min="987" max="987" width="0" style="1046" hidden="1" customWidth="1"/>
    <col min="988" max="988" width="15.140625" style="1046" customWidth="1"/>
    <col min="989" max="989" width="13.85546875" style="1046" customWidth="1"/>
    <col min="990" max="990" width="4.42578125" style="1046" customWidth="1"/>
    <col min="991" max="991" width="12.28515625" style="1046" customWidth="1"/>
    <col min="992" max="992" width="6" style="1046" customWidth="1"/>
    <col min="993" max="993" width="19.85546875" style="1046" customWidth="1"/>
    <col min="994" max="994" width="5.140625" style="1046" customWidth="1"/>
    <col min="995" max="995" width="17.28515625" style="1046" bestFit="1" customWidth="1"/>
    <col min="996" max="997" width="0" style="1046" hidden="1" customWidth="1"/>
    <col min="998" max="998" width="5.85546875" style="1046" customWidth="1"/>
    <col min="999" max="999" width="10.42578125" style="1046" customWidth="1"/>
    <col min="1000" max="1000" width="15.42578125" style="1046" customWidth="1"/>
    <col min="1001" max="1001" width="11.85546875" style="1046" customWidth="1"/>
    <col min="1002" max="1002" width="16.42578125" style="1046" customWidth="1"/>
    <col min="1003" max="1003" width="17.28515625" style="1046" customWidth="1"/>
    <col min="1004" max="1004" width="19" style="1046" bestFit="1" customWidth="1"/>
    <col min="1005" max="1005" width="20" style="1046" customWidth="1"/>
    <col min="1006" max="1006" width="18.7109375" style="1046" bestFit="1" customWidth="1"/>
    <col min="1007" max="1007" width="17.85546875" style="1046" bestFit="1" customWidth="1"/>
    <col min="1008" max="1008" width="16.42578125" style="1046" bestFit="1" customWidth="1"/>
    <col min="1009" max="1023" width="9.140625" style="1046"/>
    <col min="1024" max="1024" width="6.85546875" style="1046" customWidth="1"/>
    <col min="1025" max="1025" width="54.85546875" style="1046" customWidth="1"/>
    <col min="1026" max="1026" width="0" style="1046" hidden="1" customWidth="1"/>
    <col min="1027" max="1027" width="12.7109375" style="1046" customWidth="1"/>
    <col min="1028" max="1028" width="13.85546875" style="1046" customWidth="1"/>
    <col min="1029" max="1029" width="19.42578125" style="1046" customWidth="1"/>
    <col min="1030" max="1030" width="9.28515625" style="1046" customWidth="1"/>
    <col min="1031" max="1031" width="11.85546875" style="1046" customWidth="1"/>
    <col min="1032" max="1032" width="16.42578125" style="1046" customWidth="1"/>
    <col min="1033" max="1033" width="0" style="1046" hidden="1" customWidth="1"/>
    <col min="1034" max="1034" width="16.5703125" style="1046" customWidth="1"/>
    <col min="1035" max="1036" width="0" style="1046" hidden="1" customWidth="1"/>
    <col min="1037" max="1038" width="16.5703125" style="1046" customWidth="1"/>
    <col min="1039" max="1039" width="5.140625" style="1046" customWidth="1"/>
    <col min="1040" max="1040" width="16.5703125" style="1046" customWidth="1"/>
    <col min="1041" max="1041" width="5.140625" style="1046" customWidth="1"/>
    <col min="1042" max="1042" width="16.5703125" style="1046" customWidth="1"/>
    <col min="1043" max="1043" width="5.140625" style="1046" customWidth="1"/>
    <col min="1044" max="1044" width="16.5703125" style="1046" customWidth="1"/>
    <col min="1045" max="1045" width="5.140625" style="1046" customWidth="1"/>
    <col min="1046" max="1046" width="15.28515625" style="1046" customWidth="1"/>
    <col min="1047" max="1047" width="4.7109375" style="1046" customWidth="1"/>
    <col min="1048" max="1048" width="0" style="1046" hidden="1" customWidth="1"/>
    <col min="1049" max="1049" width="6.5703125" style="1046" customWidth="1"/>
    <col min="1050" max="1050" width="10.5703125" style="1046" customWidth="1"/>
    <col min="1051" max="1051" width="17.42578125" style="1046" customWidth="1"/>
    <col min="1052" max="1052" width="7.7109375" style="1046" customWidth="1"/>
    <col min="1053" max="1053" width="15.42578125" style="1046" customWidth="1"/>
    <col min="1054" max="1054" width="16.42578125" style="1046" customWidth="1"/>
    <col min="1055" max="1055" width="17.28515625" style="1046" customWidth="1"/>
    <col min="1056" max="1056" width="0" style="1046" hidden="1" customWidth="1"/>
    <col min="1057" max="1057" width="19" style="1046" customWidth="1"/>
    <col min="1058" max="1060" width="26" style="1046" customWidth="1"/>
    <col min="1061" max="1061" width="35.42578125" style="1046" customWidth="1"/>
    <col min="1062" max="1062" width="27.5703125" style="1046" customWidth="1"/>
    <col min="1063" max="1063" width="9.140625" style="1046"/>
    <col min="1064" max="1064" width="26.7109375" style="1046" customWidth="1"/>
    <col min="1065" max="1065" width="17.28515625" style="1046" customWidth="1"/>
    <col min="1066" max="1231" width="9.140625" style="1046"/>
    <col min="1232" max="1233" width="3" style="1046" customWidth="1"/>
    <col min="1234" max="1234" width="4.42578125" style="1046" bestFit="1" customWidth="1"/>
    <col min="1235" max="1235" width="59.140625" style="1046" customWidth="1"/>
    <col min="1236" max="1236" width="0" style="1046" hidden="1" customWidth="1"/>
    <col min="1237" max="1237" width="12.7109375" style="1046" customWidth="1"/>
    <col min="1238" max="1238" width="8.28515625" style="1046" customWidth="1"/>
    <col min="1239" max="1239" width="14.42578125" style="1046" customWidth="1"/>
    <col min="1240" max="1240" width="7.28515625" style="1046" customWidth="1"/>
    <col min="1241" max="1241" width="9.5703125" style="1046" customWidth="1"/>
    <col min="1242" max="1242" width="17" style="1046" customWidth="1"/>
    <col min="1243" max="1243" width="0" style="1046" hidden="1" customWidth="1"/>
    <col min="1244" max="1244" width="15.140625" style="1046" customWidth="1"/>
    <col min="1245" max="1245" width="13.85546875" style="1046" customWidth="1"/>
    <col min="1246" max="1246" width="4.42578125" style="1046" customWidth="1"/>
    <col min="1247" max="1247" width="12.28515625" style="1046" customWidth="1"/>
    <col min="1248" max="1248" width="6" style="1046" customWidth="1"/>
    <col min="1249" max="1249" width="19.85546875" style="1046" customWidth="1"/>
    <col min="1250" max="1250" width="5.140625" style="1046" customWidth="1"/>
    <col min="1251" max="1251" width="17.28515625" style="1046" bestFit="1" customWidth="1"/>
    <col min="1252" max="1253" width="0" style="1046" hidden="1" customWidth="1"/>
    <col min="1254" max="1254" width="5.85546875" style="1046" customWidth="1"/>
    <col min="1255" max="1255" width="10.42578125" style="1046" customWidth="1"/>
    <col min="1256" max="1256" width="15.42578125" style="1046" customWidth="1"/>
    <col min="1257" max="1257" width="11.85546875" style="1046" customWidth="1"/>
    <col min="1258" max="1258" width="16.42578125" style="1046" customWidth="1"/>
    <col min="1259" max="1259" width="17.28515625" style="1046" customWidth="1"/>
    <col min="1260" max="1260" width="19" style="1046" bestFit="1" customWidth="1"/>
    <col min="1261" max="1261" width="20" style="1046" customWidth="1"/>
    <col min="1262" max="1262" width="18.7109375" style="1046" bestFit="1" customWidth="1"/>
    <col min="1263" max="1263" width="17.85546875" style="1046" bestFit="1" customWidth="1"/>
    <col min="1264" max="1264" width="16.42578125" style="1046" bestFit="1" customWidth="1"/>
    <col min="1265" max="1279" width="9.140625" style="1046"/>
    <col min="1280" max="1280" width="6.85546875" style="1046" customWidth="1"/>
    <col min="1281" max="1281" width="54.85546875" style="1046" customWidth="1"/>
    <col min="1282" max="1282" width="0" style="1046" hidden="1" customWidth="1"/>
    <col min="1283" max="1283" width="12.7109375" style="1046" customWidth="1"/>
    <col min="1284" max="1284" width="13.85546875" style="1046" customWidth="1"/>
    <col min="1285" max="1285" width="19.42578125" style="1046" customWidth="1"/>
    <col min="1286" max="1286" width="9.28515625" style="1046" customWidth="1"/>
    <col min="1287" max="1287" width="11.85546875" style="1046" customWidth="1"/>
    <col min="1288" max="1288" width="16.42578125" style="1046" customWidth="1"/>
    <col min="1289" max="1289" width="0" style="1046" hidden="1" customWidth="1"/>
    <col min="1290" max="1290" width="16.5703125" style="1046" customWidth="1"/>
    <col min="1291" max="1292" width="0" style="1046" hidden="1" customWidth="1"/>
    <col min="1293" max="1294" width="16.5703125" style="1046" customWidth="1"/>
    <col min="1295" max="1295" width="5.140625" style="1046" customWidth="1"/>
    <col min="1296" max="1296" width="16.5703125" style="1046" customWidth="1"/>
    <col min="1297" max="1297" width="5.140625" style="1046" customWidth="1"/>
    <col min="1298" max="1298" width="16.5703125" style="1046" customWidth="1"/>
    <col min="1299" max="1299" width="5.140625" style="1046" customWidth="1"/>
    <col min="1300" max="1300" width="16.5703125" style="1046" customWidth="1"/>
    <col min="1301" max="1301" width="5.140625" style="1046" customWidth="1"/>
    <col min="1302" max="1302" width="15.28515625" style="1046" customWidth="1"/>
    <col min="1303" max="1303" width="4.7109375" style="1046" customWidth="1"/>
    <col min="1304" max="1304" width="0" style="1046" hidden="1" customWidth="1"/>
    <col min="1305" max="1305" width="6.5703125" style="1046" customWidth="1"/>
    <col min="1306" max="1306" width="10.5703125" style="1046" customWidth="1"/>
    <col min="1307" max="1307" width="17.42578125" style="1046" customWidth="1"/>
    <col min="1308" max="1308" width="7.7109375" style="1046" customWidth="1"/>
    <col min="1309" max="1309" width="15.42578125" style="1046" customWidth="1"/>
    <col min="1310" max="1310" width="16.42578125" style="1046" customWidth="1"/>
    <col min="1311" max="1311" width="17.28515625" style="1046" customWidth="1"/>
    <col min="1312" max="1312" width="0" style="1046" hidden="1" customWidth="1"/>
    <col min="1313" max="1313" width="19" style="1046" customWidth="1"/>
    <col min="1314" max="1316" width="26" style="1046" customWidth="1"/>
    <col min="1317" max="1317" width="35.42578125" style="1046" customWidth="1"/>
    <col min="1318" max="1318" width="27.5703125" style="1046" customWidth="1"/>
    <col min="1319" max="1319" width="9.140625" style="1046"/>
    <col min="1320" max="1320" width="26.7109375" style="1046" customWidth="1"/>
    <col min="1321" max="1321" width="17.28515625" style="1046" customWidth="1"/>
    <col min="1322" max="1487" width="9.140625" style="1046"/>
    <col min="1488" max="1489" width="3" style="1046" customWidth="1"/>
    <col min="1490" max="1490" width="4.42578125" style="1046" bestFit="1" customWidth="1"/>
    <col min="1491" max="1491" width="59.140625" style="1046" customWidth="1"/>
    <col min="1492" max="1492" width="0" style="1046" hidden="1" customWidth="1"/>
    <col min="1493" max="1493" width="12.7109375" style="1046" customWidth="1"/>
    <col min="1494" max="1494" width="8.28515625" style="1046" customWidth="1"/>
    <col min="1495" max="1495" width="14.42578125" style="1046" customWidth="1"/>
    <col min="1496" max="1496" width="7.28515625" style="1046" customWidth="1"/>
    <col min="1497" max="1497" width="9.5703125" style="1046" customWidth="1"/>
    <col min="1498" max="1498" width="17" style="1046" customWidth="1"/>
    <col min="1499" max="1499" width="0" style="1046" hidden="1" customWidth="1"/>
    <col min="1500" max="1500" width="15.140625" style="1046" customWidth="1"/>
    <col min="1501" max="1501" width="13.85546875" style="1046" customWidth="1"/>
    <col min="1502" max="1502" width="4.42578125" style="1046" customWidth="1"/>
    <col min="1503" max="1503" width="12.28515625" style="1046" customWidth="1"/>
    <col min="1504" max="1504" width="6" style="1046" customWidth="1"/>
    <col min="1505" max="1505" width="19.85546875" style="1046" customWidth="1"/>
    <col min="1506" max="1506" width="5.140625" style="1046" customWidth="1"/>
    <col min="1507" max="1507" width="17.28515625" style="1046" bestFit="1" customWidth="1"/>
    <col min="1508" max="1509" width="0" style="1046" hidden="1" customWidth="1"/>
    <col min="1510" max="1510" width="5.85546875" style="1046" customWidth="1"/>
    <col min="1511" max="1511" width="10.42578125" style="1046" customWidth="1"/>
    <col min="1512" max="1512" width="15.42578125" style="1046" customWidth="1"/>
    <col min="1513" max="1513" width="11.85546875" style="1046" customWidth="1"/>
    <col min="1514" max="1514" width="16.42578125" style="1046" customWidth="1"/>
    <col min="1515" max="1515" width="17.28515625" style="1046" customWidth="1"/>
    <col min="1516" max="1516" width="19" style="1046" bestFit="1" customWidth="1"/>
    <col min="1517" max="1517" width="20" style="1046" customWidth="1"/>
    <col min="1518" max="1518" width="18.7109375" style="1046" bestFit="1" customWidth="1"/>
    <col min="1519" max="1519" width="17.85546875" style="1046" bestFit="1" customWidth="1"/>
    <col min="1520" max="1520" width="16.42578125" style="1046" bestFit="1" customWidth="1"/>
    <col min="1521" max="1535" width="9.140625" style="1046"/>
    <col min="1536" max="1536" width="6.85546875" style="1046" customWidth="1"/>
    <col min="1537" max="1537" width="54.85546875" style="1046" customWidth="1"/>
    <col min="1538" max="1538" width="0" style="1046" hidden="1" customWidth="1"/>
    <col min="1539" max="1539" width="12.7109375" style="1046" customWidth="1"/>
    <col min="1540" max="1540" width="13.85546875" style="1046" customWidth="1"/>
    <col min="1541" max="1541" width="19.42578125" style="1046" customWidth="1"/>
    <col min="1542" max="1542" width="9.28515625" style="1046" customWidth="1"/>
    <col min="1543" max="1543" width="11.85546875" style="1046" customWidth="1"/>
    <col min="1544" max="1544" width="16.42578125" style="1046" customWidth="1"/>
    <col min="1545" max="1545" width="0" style="1046" hidden="1" customWidth="1"/>
    <col min="1546" max="1546" width="16.5703125" style="1046" customWidth="1"/>
    <col min="1547" max="1548" width="0" style="1046" hidden="1" customWidth="1"/>
    <col min="1549" max="1550" width="16.5703125" style="1046" customWidth="1"/>
    <col min="1551" max="1551" width="5.140625" style="1046" customWidth="1"/>
    <col min="1552" max="1552" width="16.5703125" style="1046" customWidth="1"/>
    <col min="1553" max="1553" width="5.140625" style="1046" customWidth="1"/>
    <col min="1554" max="1554" width="16.5703125" style="1046" customWidth="1"/>
    <col min="1555" max="1555" width="5.140625" style="1046" customWidth="1"/>
    <col min="1556" max="1556" width="16.5703125" style="1046" customWidth="1"/>
    <col min="1557" max="1557" width="5.140625" style="1046" customWidth="1"/>
    <col min="1558" max="1558" width="15.28515625" style="1046" customWidth="1"/>
    <col min="1559" max="1559" width="4.7109375" style="1046" customWidth="1"/>
    <col min="1560" max="1560" width="0" style="1046" hidden="1" customWidth="1"/>
    <col min="1561" max="1561" width="6.5703125" style="1046" customWidth="1"/>
    <col min="1562" max="1562" width="10.5703125" style="1046" customWidth="1"/>
    <col min="1563" max="1563" width="17.42578125" style="1046" customWidth="1"/>
    <col min="1564" max="1564" width="7.7109375" style="1046" customWidth="1"/>
    <col min="1565" max="1565" width="15.42578125" style="1046" customWidth="1"/>
    <col min="1566" max="1566" width="16.42578125" style="1046" customWidth="1"/>
    <col min="1567" max="1567" width="17.28515625" style="1046" customWidth="1"/>
    <col min="1568" max="1568" width="0" style="1046" hidden="1" customWidth="1"/>
    <col min="1569" max="1569" width="19" style="1046" customWidth="1"/>
    <col min="1570" max="1572" width="26" style="1046" customWidth="1"/>
    <col min="1573" max="1573" width="35.42578125" style="1046" customWidth="1"/>
    <col min="1574" max="1574" width="27.5703125" style="1046" customWidth="1"/>
    <col min="1575" max="1575" width="9.140625" style="1046"/>
    <col min="1576" max="1576" width="26.7109375" style="1046" customWidth="1"/>
    <col min="1577" max="1577" width="17.28515625" style="1046" customWidth="1"/>
    <col min="1578" max="1743" width="9.140625" style="1046"/>
    <col min="1744" max="1745" width="3" style="1046" customWidth="1"/>
    <col min="1746" max="1746" width="4.42578125" style="1046" bestFit="1" customWidth="1"/>
    <col min="1747" max="1747" width="59.140625" style="1046" customWidth="1"/>
    <col min="1748" max="1748" width="0" style="1046" hidden="1" customWidth="1"/>
    <col min="1749" max="1749" width="12.7109375" style="1046" customWidth="1"/>
    <col min="1750" max="1750" width="8.28515625" style="1046" customWidth="1"/>
    <col min="1751" max="1751" width="14.42578125" style="1046" customWidth="1"/>
    <col min="1752" max="1752" width="7.28515625" style="1046" customWidth="1"/>
    <col min="1753" max="1753" width="9.5703125" style="1046" customWidth="1"/>
    <col min="1754" max="1754" width="17" style="1046" customWidth="1"/>
    <col min="1755" max="1755" width="0" style="1046" hidden="1" customWidth="1"/>
    <col min="1756" max="1756" width="15.140625" style="1046" customWidth="1"/>
    <col min="1757" max="1757" width="13.85546875" style="1046" customWidth="1"/>
    <col min="1758" max="1758" width="4.42578125" style="1046" customWidth="1"/>
    <col min="1759" max="1759" width="12.28515625" style="1046" customWidth="1"/>
    <col min="1760" max="1760" width="6" style="1046" customWidth="1"/>
    <col min="1761" max="1761" width="19.85546875" style="1046" customWidth="1"/>
    <col min="1762" max="1762" width="5.140625" style="1046" customWidth="1"/>
    <col min="1763" max="1763" width="17.28515625" style="1046" bestFit="1" customWidth="1"/>
    <col min="1764" max="1765" width="0" style="1046" hidden="1" customWidth="1"/>
    <col min="1766" max="1766" width="5.85546875" style="1046" customWidth="1"/>
    <col min="1767" max="1767" width="10.42578125" style="1046" customWidth="1"/>
    <col min="1768" max="1768" width="15.42578125" style="1046" customWidth="1"/>
    <col min="1769" max="1769" width="11.85546875" style="1046" customWidth="1"/>
    <col min="1770" max="1770" width="16.42578125" style="1046" customWidth="1"/>
    <col min="1771" max="1771" width="17.28515625" style="1046" customWidth="1"/>
    <col min="1772" max="1772" width="19" style="1046" bestFit="1" customWidth="1"/>
    <col min="1773" max="1773" width="20" style="1046" customWidth="1"/>
    <col min="1774" max="1774" width="18.7109375" style="1046" bestFit="1" customWidth="1"/>
    <col min="1775" max="1775" width="17.85546875" style="1046" bestFit="1" customWidth="1"/>
    <col min="1776" max="1776" width="16.42578125" style="1046" bestFit="1" customWidth="1"/>
    <col min="1777" max="1791" width="9.140625" style="1046"/>
    <col min="1792" max="1792" width="6.85546875" style="1046" customWidth="1"/>
    <col min="1793" max="1793" width="54.85546875" style="1046" customWidth="1"/>
    <col min="1794" max="1794" width="0" style="1046" hidden="1" customWidth="1"/>
    <col min="1795" max="1795" width="12.7109375" style="1046" customWidth="1"/>
    <col min="1796" max="1796" width="13.85546875" style="1046" customWidth="1"/>
    <col min="1797" max="1797" width="19.42578125" style="1046" customWidth="1"/>
    <col min="1798" max="1798" width="9.28515625" style="1046" customWidth="1"/>
    <col min="1799" max="1799" width="11.85546875" style="1046" customWidth="1"/>
    <col min="1800" max="1800" width="16.42578125" style="1046" customWidth="1"/>
    <col min="1801" max="1801" width="0" style="1046" hidden="1" customWidth="1"/>
    <col min="1802" max="1802" width="16.5703125" style="1046" customWidth="1"/>
    <col min="1803" max="1804" width="0" style="1046" hidden="1" customWidth="1"/>
    <col min="1805" max="1806" width="16.5703125" style="1046" customWidth="1"/>
    <col min="1807" max="1807" width="5.140625" style="1046" customWidth="1"/>
    <col min="1808" max="1808" width="16.5703125" style="1046" customWidth="1"/>
    <col min="1809" max="1809" width="5.140625" style="1046" customWidth="1"/>
    <col min="1810" max="1810" width="16.5703125" style="1046" customWidth="1"/>
    <col min="1811" max="1811" width="5.140625" style="1046" customWidth="1"/>
    <col min="1812" max="1812" width="16.5703125" style="1046" customWidth="1"/>
    <col min="1813" max="1813" width="5.140625" style="1046" customWidth="1"/>
    <col min="1814" max="1814" width="15.28515625" style="1046" customWidth="1"/>
    <col min="1815" max="1815" width="4.7109375" style="1046" customWidth="1"/>
    <col min="1816" max="1816" width="0" style="1046" hidden="1" customWidth="1"/>
    <col min="1817" max="1817" width="6.5703125" style="1046" customWidth="1"/>
    <col min="1818" max="1818" width="10.5703125" style="1046" customWidth="1"/>
    <col min="1819" max="1819" width="17.42578125" style="1046" customWidth="1"/>
    <col min="1820" max="1820" width="7.7109375" style="1046" customWidth="1"/>
    <col min="1821" max="1821" width="15.42578125" style="1046" customWidth="1"/>
    <col min="1822" max="1822" width="16.42578125" style="1046" customWidth="1"/>
    <col min="1823" max="1823" width="17.28515625" style="1046" customWidth="1"/>
    <col min="1824" max="1824" width="0" style="1046" hidden="1" customWidth="1"/>
    <col min="1825" max="1825" width="19" style="1046" customWidth="1"/>
    <col min="1826" max="1828" width="26" style="1046" customWidth="1"/>
    <col min="1829" max="1829" width="35.42578125" style="1046" customWidth="1"/>
    <col min="1830" max="1830" width="27.5703125" style="1046" customWidth="1"/>
    <col min="1831" max="1831" width="9.140625" style="1046"/>
    <col min="1832" max="1832" width="26.7109375" style="1046" customWidth="1"/>
    <col min="1833" max="1833" width="17.28515625" style="1046" customWidth="1"/>
    <col min="1834" max="1999" width="9.140625" style="1046"/>
    <col min="2000" max="2001" width="3" style="1046" customWidth="1"/>
    <col min="2002" max="2002" width="4.42578125" style="1046" bestFit="1" customWidth="1"/>
    <col min="2003" max="2003" width="59.140625" style="1046" customWidth="1"/>
    <col min="2004" max="2004" width="0" style="1046" hidden="1" customWidth="1"/>
    <col min="2005" max="2005" width="12.7109375" style="1046" customWidth="1"/>
    <col min="2006" max="2006" width="8.28515625" style="1046" customWidth="1"/>
    <col min="2007" max="2007" width="14.42578125" style="1046" customWidth="1"/>
    <col min="2008" max="2008" width="7.28515625" style="1046" customWidth="1"/>
    <col min="2009" max="2009" width="9.5703125" style="1046" customWidth="1"/>
    <col min="2010" max="2010" width="17" style="1046" customWidth="1"/>
    <col min="2011" max="2011" width="0" style="1046" hidden="1" customWidth="1"/>
    <col min="2012" max="2012" width="15.140625" style="1046" customWidth="1"/>
    <col min="2013" max="2013" width="13.85546875" style="1046" customWidth="1"/>
    <col min="2014" max="2014" width="4.42578125" style="1046" customWidth="1"/>
    <col min="2015" max="2015" width="12.28515625" style="1046" customWidth="1"/>
    <col min="2016" max="2016" width="6" style="1046" customWidth="1"/>
    <col min="2017" max="2017" width="19.85546875" style="1046" customWidth="1"/>
    <col min="2018" max="2018" width="5.140625" style="1046" customWidth="1"/>
    <col min="2019" max="2019" width="17.28515625" style="1046" bestFit="1" customWidth="1"/>
    <col min="2020" max="2021" width="0" style="1046" hidden="1" customWidth="1"/>
    <col min="2022" max="2022" width="5.85546875" style="1046" customWidth="1"/>
    <col min="2023" max="2023" width="10.42578125" style="1046" customWidth="1"/>
    <col min="2024" max="2024" width="15.42578125" style="1046" customWidth="1"/>
    <col min="2025" max="2025" width="11.85546875" style="1046" customWidth="1"/>
    <col min="2026" max="2026" width="16.42578125" style="1046" customWidth="1"/>
    <col min="2027" max="2027" width="17.28515625" style="1046" customWidth="1"/>
    <col min="2028" max="2028" width="19" style="1046" bestFit="1" customWidth="1"/>
    <col min="2029" max="2029" width="20" style="1046" customWidth="1"/>
    <col min="2030" max="2030" width="18.7109375" style="1046" bestFit="1" customWidth="1"/>
    <col min="2031" max="2031" width="17.85546875" style="1046" bestFit="1" customWidth="1"/>
    <col min="2032" max="2032" width="16.42578125" style="1046" bestFit="1" customWidth="1"/>
    <col min="2033" max="2047" width="9.140625" style="1046"/>
    <col min="2048" max="2048" width="6.85546875" style="1046" customWidth="1"/>
    <col min="2049" max="2049" width="54.85546875" style="1046" customWidth="1"/>
    <col min="2050" max="2050" width="0" style="1046" hidden="1" customWidth="1"/>
    <col min="2051" max="2051" width="12.7109375" style="1046" customWidth="1"/>
    <col min="2052" max="2052" width="13.85546875" style="1046" customWidth="1"/>
    <col min="2053" max="2053" width="19.42578125" style="1046" customWidth="1"/>
    <col min="2054" max="2054" width="9.28515625" style="1046" customWidth="1"/>
    <col min="2055" max="2055" width="11.85546875" style="1046" customWidth="1"/>
    <col min="2056" max="2056" width="16.42578125" style="1046" customWidth="1"/>
    <col min="2057" max="2057" width="0" style="1046" hidden="1" customWidth="1"/>
    <col min="2058" max="2058" width="16.5703125" style="1046" customWidth="1"/>
    <col min="2059" max="2060" width="0" style="1046" hidden="1" customWidth="1"/>
    <col min="2061" max="2062" width="16.5703125" style="1046" customWidth="1"/>
    <col min="2063" max="2063" width="5.140625" style="1046" customWidth="1"/>
    <col min="2064" max="2064" width="16.5703125" style="1046" customWidth="1"/>
    <col min="2065" max="2065" width="5.140625" style="1046" customWidth="1"/>
    <col min="2066" max="2066" width="16.5703125" style="1046" customWidth="1"/>
    <col min="2067" max="2067" width="5.140625" style="1046" customWidth="1"/>
    <col min="2068" max="2068" width="16.5703125" style="1046" customWidth="1"/>
    <col min="2069" max="2069" width="5.140625" style="1046" customWidth="1"/>
    <col min="2070" max="2070" width="15.28515625" style="1046" customWidth="1"/>
    <col min="2071" max="2071" width="4.7109375" style="1046" customWidth="1"/>
    <col min="2072" max="2072" width="0" style="1046" hidden="1" customWidth="1"/>
    <col min="2073" max="2073" width="6.5703125" style="1046" customWidth="1"/>
    <col min="2074" max="2074" width="10.5703125" style="1046" customWidth="1"/>
    <col min="2075" max="2075" width="17.42578125" style="1046" customWidth="1"/>
    <col min="2076" max="2076" width="7.7109375" style="1046" customWidth="1"/>
    <col min="2077" max="2077" width="15.42578125" style="1046" customWidth="1"/>
    <col min="2078" max="2078" width="16.42578125" style="1046" customWidth="1"/>
    <col min="2079" max="2079" width="17.28515625" style="1046" customWidth="1"/>
    <col min="2080" max="2080" width="0" style="1046" hidden="1" customWidth="1"/>
    <col min="2081" max="2081" width="19" style="1046" customWidth="1"/>
    <col min="2082" max="2084" width="26" style="1046" customWidth="1"/>
    <col min="2085" max="2085" width="35.42578125" style="1046" customWidth="1"/>
    <col min="2086" max="2086" width="27.5703125" style="1046" customWidth="1"/>
    <col min="2087" max="2087" width="9.140625" style="1046"/>
    <col min="2088" max="2088" width="26.7109375" style="1046" customWidth="1"/>
    <col min="2089" max="2089" width="17.28515625" style="1046" customWidth="1"/>
    <col min="2090" max="2255" width="9.140625" style="1046"/>
    <col min="2256" max="2257" width="3" style="1046" customWidth="1"/>
    <col min="2258" max="2258" width="4.42578125" style="1046" bestFit="1" customWidth="1"/>
    <col min="2259" max="2259" width="59.140625" style="1046" customWidth="1"/>
    <col min="2260" max="2260" width="0" style="1046" hidden="1" customWidth="1"/>
    <col min="2261" max="2261" width="12.7109375" style="1046" customWidth="1"/>
    <col min="2262" max="2262" width="8.28515625" style="1046" customWidth="1"/>
    <col min="2263" max="2263" width="14.42578125" style="1046" customWidth="1"/>
    <col min="2264" max="2264" width="7.28515625" style="1046" customWidth="1"/>
    <col min="2265" max="2265" width="9.5703125" style="1046" customWidth="1"/>
    <col min="2266" max="2266" width="17" style="1046" customWidth="1"/>
    <col min="2267" max="2267" width="0" style="1046" hidden="1" customWidth="1"/>
    <col min="2268" max="2268" width="15.140625" style="1046" customWidth="1"/>
    <col min="2269" max="2269" width="13.85546875" style="1046" customWidth="1"/>
    <col min="2270" max="2270" width="4.42578125" style="1046" customWidth="1"/>
    <col min="2271" max="2271" width="12.28515625" style="1046" customWidth="1"/>
    <col min="2272" max="2272" width="6" style="1046" customWidth="1"/>
    <col min="2273" max="2273" width="19.85546875" style="1046" customWidth="1"/>
    <col min="2274" max="2274" width="5.140625" style="1046" customWidth="1"/>
    <col min="2275" max="2275" width="17.28515625" style="1046" bestFit="1" customWidth="1"/>
    <col min="2276" max="2277" width="0" style="1046" hidden="1" customWidth="1"/>
    <col min="2278" max="2278" width="5.85546875" style="1046" customWidth="1"/>
    <col min="2279" max="2279" width="10.42578125" style="1046" customWidth="1"/>
    <col min="2280" max="2280" width="15.42578125" style="1046" customWidth="1"/>
    <col min="2281" max="2281" width="11.85546875" style="1046" customWidth="1"/>
    <col min="2282" max="2282" width="16.42578125" style="1046" customWidth="1"/>
    <col min="2283" max="2283" width="17.28515625" style="1046" customWidth="1"/>
    <col min="2284" max="2284" width="19" style="1046" bestFit="1" customWidth="1"/>
    <col min="2285" max="2285" width="20" style="1046" customWidth="1"/>
    <col min="2286" max="2286" width="18.7109375" style="1046" bestFit="1" customWidth="1"/>
    <col min="2287" max="2287" width="17.85546875" style="1046" bestFit="1" customWidth="1"/>
    <col min="2288" max="2288" width="16.42578125" style="1046" bestFit="1" customWidth="1"/>
    <col min="2289" max="2303" width="9.140625" style="1046"/>
    <col min="2304" max="2304" width="6.85546875" style="1046" customWidth="1"/>
    <col min="2305" max="2305" width="54.85546875" style="1046" customWidth="1"/>
    <col min="2306" max="2306" width="0" style="1046" hidden="1" customWidth="1"/>
    <col min="2307" max="2307" width="12.7109375" style="1046" customWidth="1"/>
    <col min="2308" max="2308" width="13.85546875" style="1046" customWidth="1"/>
    <col min="2309" max="2309" width="19.42578125" style="1046" customWidth="1"/>
    <col min="2310" max="2310" width="9.28515625" style="1046" customWidth="1"/>
    <col min="2311" max="2311" width="11.85546875" style="1046" customWidth="1"/>
    <col min="2312" max="2312" width="16.42578125" style="1046" customWidth="1"/>
    <col min="2313" max="2313" width="0" style="1046" hidden="1" customWidth="1"/>
    <col min="2314" max="2314" width="16.5703125" style="1046" customWidth="1"/>
    <col min="2315" max="2316" width="0" style="1046" hidden="1" customWidth="1"/>
    <col min="2317" max="2318" width="16.5703125" style="1046" customWidth="1"/>
    <col min="2319" max="2319" width="5.140625" style="1046" customWidth="1"/>
    <col min="2320" max="2320" width="16.5703125" style="1046" customWidth="1"/>
    <col min="2321" max="2321" width="5.140625" style="1046" customWidth="1"/>
    <col min="2322" max="2322" width="16.5703125" style="1046" customWidth="1"/>
    <col min="2323" max="2323" width="5.140625" style="1046" customWidth="1"/>
    <col min="2324" max="2324" width="16.5703125" style="1046" customWidth="1"/>
    <col min="2325" max="2325" width="5.140625" style="1046" customWidth="1"/>
    <col min="2326" max="2326" width="15.28515625" style="1046" customWidth="1"/>
    <col min="2327" max="2327" width="4.7109375" style="1046" customWidth="1"/>
    <col min="2328" max="2328" width="0" style="1046" hidden="1" customWidth="1"/>
    <col min="2329" max="2329" width="6.5703125" style="1046" customWidth="1"/>
    <col min="2330" max="2330" width="10.5703125" style="1046" customWidth="1"/>
    <col min="2331" max="2331" width="17.42578125" style="1046" customWidth="1"/>
    <col min="2332" max="2332" width="7.7109375" style="1046" customWidth="1"/>
    <col min="2333" max="2333" width="15.42578125" style="1046" customWidth="1"/>
    <col min="2334" max="2334" width="16.42578125" style="1046" customWidth="1"/>
    <col min="2335" max="2335" width="17.28515625" style="1046" customWidth="1"/>
    <col min="2336" max="2336" width="0" style="1046" hidden="1" customWidth="1"/>
    <col min="2337" max="2337" width="19" style="1046" customWidth="1"/>
    <col min="2338" max="2340" width="26" style="1046" customWidth="1"/>
    <col min="2341" max="2341" width="35.42578125" style="1046" customWidth="1"/>
    <col min="2342" max="2342" width="27.5703125" style="1046" customWidth="1"/>
    <col min="2343" max="2343" width="9.140625" style="1046"/>
    <col min="2344" max="2344" width="26.7109375" style="1046" customWidth="1"/>
    <col min="2345" max="2345" width="17.28515625" style="1046" customWidth="1"/>
    <col min="2346" max="2511" width="9.140625" style="1046"/>
    <col min="2512" max="2513" width="3" style="1046" customWidth="1"/>
    <col min="2514" max="2514" width="4.42578125" style="1046" bestFit="1" customWidth="1"/>
    <col min="2515" max="2515" width="59.140625" style="1046" customWidth="1"/>
    <col min="2516" max="2516" width="0" style="1046" hidden="1" customWidth="1"/>
    <col min="2517" max="2517" width="12.7109375" style="1046" customWidth="1"/>
    <col min="2518" max="2518" width="8.28515625" style="1046" customWidth="1"/>
    <col min="2519" max="2519" width="14.42578125" style="1046" customWidth="1"/>
    <col min="2520" max="2520" width="7.28515625" style="1046" customWidth="1"/>
    <col min="2521" max="2521" width="9.5703125" style="1046" customWidth="1"/>
    <col min="2522" max="2522" width="17" style="1046" customWidth="1"/>
    <col min="2523" max="2523" width="0" style="1046" hidden="1" customWidth="1"/>
    <col min="2524" max="2524" width="15.140625" style="1046" customWidth="1"/>
    <col min="2525" max="2525" width="13.85546875" style="1046" customWidth="1"/>
    <col min="2526" max="2526" width="4.42578125" style="1046" customWidth="1"/>
    <col min="2527" max="2527" width="12.28515625" style="1046" customWidth="1"/>
    <col min="2528" max="2528" width="6" style="1046" customWidth="1"/>
    <col min="2529" max="2529" width="19.85546875" style="1046" customWidth="1"/>
    <col min="2530" max="2530" width="5.140625" style="1046" customWidth="1"/>
    <col min="2531" max="2531" width="17.28515625" style="1046" bestFit="1" customWidth="1"/>
    <col min="2532" max="2533" width="0" style="1046" hidden="1" customWidth="1"/>
    <col min="2534" max="2534" width="5.85546875" style="1046" customWidth="1"/>
    <col min="2535" max="2535" width="10.42578125" style="1046" customWidth="1"/>
    <col min="2536" max="2536" width="15.42578125" style="1046" customWidth="1"/>
    <col min="2537" max="2537" width="11.85546875" style="1046" customWidth="1"/>
    <col min="2538" max="2538" width="16.42578125" style="1046" customWidth="1"/>
    <col min="2539" max="2539" width="17.28515625" style="1046" customWidth="1"/>
    <col min="2540" max="2540" width="19" style="1046" bestFit="1" customWidth="1"/>
    <col min="2541" max="2541" width="20" style="1046" customWidth="1"/>
    <col min="2542" max="2542" width="18.7109375" style="1046" bestFit="1" customWidth="1"/>
    <col min="2543" max="2543" width="17.85546875" style="1046" bestFit="1" customWidth="1"/>
    <col min="2544" max="2544" width="16.42578125" style="1046" bestFit="1" customWidth="1"/>
    <col min="2545" max="2559" width="9.140625" style="1046"/>
    <col min="2560" max="2560" width="6.85546875" style="1046" customWidth="1"/>
    <col min="2561" max="2561" width="54.85546875" style="1046" customWidth="1"/>
    <col min="2562" max="2562" width="0" style="1046" hidden="1" customWidth="1"/>
    <col min="2563" max="2563" width="12.7109375" style="1046" customWidth="1"/>
    <col min="2564" max="2564" width="13.85546875" style="1046" customWidth="1"/>
    <col min="2565" max="2565" width="19.42578125" style="1046" customWidth="1"/>
    <col min="2566" max="2566" width="9.28515625" style="1046" customWidth="1"/>
    <col min="2567" max="2567" width="11.85546875" style="1046" customWidth="1"/>
    <col min="2568" max="2568" width="16.42578125" style="1046" customWidth="1"/>
    <col min="2569" max="2569" width="0" style="1046" hidden="1" customWidth="1"/>
    <col min="2570" max="2570" width="16.5703125" style="1046" customWidth="1"/>
    <col min="2571" max="2572" width="0" style="1046" hidden="1" customWidth="1"/>
    <col min="2573" max="2574" width="16.5703125" style="1046" customWidth="1"/>
    <col min="2575" max="2575" width="5.140625" style="1046" customWidth="1"/>
    <col min="2576" max="2576" width="16.5703125" style="1046" customWidth="1"/>
    <col min="2577" max="2577" width="5.140625" style="1046" customWidth="1"/>
    <col min="2578" max="2578" width="16.5703125" style="1046" customWidth="1"/>
    <col min="2579" max="2579" width="5.140625" style="1046" customWidth="1"/>
    <col min="2580" max="2580" width="16.5703125" style="1046" customWidth="1"/>
    <col min="2581" max="2581" width="5.140625" style="1046" customWidth="1"/>
    <col min="2582" max="2582" width="15.28515625" style="1046" customWidth="1"/>
    <col min="2583" max="2583" width="4.7109375" style="1046" customWidth="1"/>
    <col min="2584" max="2584" width="0" style="1046" hidden="1" customWidth="1"/>
    <col min="2585" max="2585" width="6.5703125" style="1046" customWidth="1"/>
    <col min="2586" max="2586" width="10.5703125" style="1046" customWidth="1"/>
    <col min="2587" max="2587" width="17.42578125" style="1046" customWidth="1"/>
    <col min="2588" max="2588" width="7.7109375" style="1046" customWidth="1"/>
    <col min="2589" max="2589" width="15.42578125" style="1046" customWidth="1"/>
    <col min="2590" max="2590" width="16.42578125" style="1046" customWidth="1"/>
    <col min="2591" max="2591" width="17.28515625" style="1046" customWidth="1"/>
    <col min="2592" max="2592" width="0" style="1046" hidden="1" customWidth="1"/>
    <col min="2593" max="2593" width="19" style="1046" customWidth="1"/>
    <col min="2594" max="2596" width="26" style="1046" customWidth="1"/>
    <col min="2597" max="2597" width="35.42578125" style="1046" customWidth="1"/>
    <col min="2598" max="2598" width="27.5703125" style="1046" customWidth="1"/>
    <col min="2599" max="2599" width="9.140625" style="1046"/>
    <col min="2600" max="2600" width="26.7109375" style="1046" customWidth="1"/>
    <col min="2601" max="2601" width="17.28515625" style="1046" customWidth="1"/>
    <col min="2602" max="2767" width="9.140625" style="1046"/>
    <col min="2768" max="2769" width="3" style="1046" customWidth="1"/>
    <col min="2770" max="2770" width="4.42578125" style="1046" bestFit="1" customWidth="1"/>
    <col min="2771" max="2771" width="59.140625" style="1046" customWidth="1"/>
    <col min="2772" max="2772" width="0" style="1046" hidden="1" customWidth="1"/>
    <col min="2773" max="2773" width="12.7109375" style="1046" customWidth="1"/>
    <col min="2774" max="2774" width="8.28515625" style="1046" customWidth="1"/>
    <col min="2775" max="2775" width="14.42578125" style="1046" customWidth="1"/>
    <col min="2776" max="2776" width="7.28515625" style="1046" customWidth="1"/>
    <col min="2777" max="2777" width="9.5703125" style="1046" customWidth="1"/>
    <col min="2778" max="2778" width="17" style="1046" customWidth="1"/>
    <col min="2779" max="2779" width="0" style="1046" hidden="1" customWidth="1"/>
    <col min="2780" max="2780" width="15.140625" style="1046" customWidth="1"/>
    <col min="2781" max="2781" width="13.85546875" style="1046" customWidth="1"/>
    <col min="2782" max="2782" width="4.42578125" style="1046" customWidth="1"/>
    <col min="2783" max="2783" width="12.28515625" style="1046" customWidth="1"/>
    <col min="2784" max="2784" width="6" style="1046" customWidth="1"/>
    <col min="2785" max="2785" width="19.85546875" style="1046" customWidth="1"/>
    <col min="2786" max="2786" width="5.140625" style="1046" customWidth="1"/>
    <col min="2787" max="2787" width="17.28515625" style="1046" bestFit="1" customWidth="1"/>
    <col min="2788" max="2789" width="0" style="1046" hidden="1" customWidth="1"/>
    <col min="2790" max="2790" width="5.85546875" style="1046" customWidth="1"/>
    <col min="2791" max="2791" width="10.42578125" style="1046" customWidth="1"/>
    <col min="2792" max="2792" width="15.42578125" style="1046" customWidth="1"/>
    <col min="2793" max="2793" width="11.85546875" style="1046" customWidth="1"/>
    <col min="2794" max="2794" width="16.42578125" style="1046" customWidth="1"/>
    <col min="2795" max="2795" width="17.28515625" style="1046" customWidth="1"/>
    <col min="2796" max="2796" width="19" style="1046" bestFit="1" customWidth="1"/>
    <col min="2797" max="2797" width="20" style="1046" customWidth="1"/>
    <col min="2798" max="2798" width="18.7109375" style="1046" bestFit="1" customWidth="1"/>
    <col min="2799" max="2799" width="17.85546875" style="1046" bestFit="1" customWidth="1"/>
    <col min="2800" max="2800" width="16.42578125" style="1046" bestFit="1" customWidth="1"/>
    <col min="2801" max="2815" width="9.140625" style="1046"/>
    <col min="2816" max="2816" width="6.85546875" style="1046" customWidth="1"/>
    <col min="2817" max="2817" width="54.85546875" style="1046" customWidth="1"/>
    <col min="2818" max="2818" width="0" style="1046" hidden="1" customWidth="1"/>
    <col min="2819" max="2819" width="12.7109375" style="1046" customWidth="1"/>
    <col min="2820" max="2820" width="13.85546875" style="1046" customWidth="1"/>
    <col min="2821" max="2821" width="19.42578125" style="1046" customWidth="1"/>
    <col min="2822" max="2822" width="9.28515625" style="1046" customWidth="1"/>
    <col min="2823" max="2823" width="11.85546875" style="1046" customWidth="1"/>
    <col min="2824" max="2824" width="16.42578125" style="1046" customWidth="1"/>
    <col min="2825" max="2825" width="0" style="1046" hidden="1" customWidth="1"/>
    <col min="2826" max="2826" width="16.5703125" style="1046" customWidth="1"/>
    <col min="2827" max="2828" width="0" style="1046" hidden="1" customWidth="1"/>
    <col min="2829" max="2830" width="16.5703125" style="1046" customWidth="1"/>
    <col min="2831" max="2831" width="5.140625" style="1046" customWidth="1"/>
    <col min="2832" max="2832" width="16.5703125" style="1046" customWidth="1"/>
    <col min="2833" max="2833" width="5.140625" style="1046" customWidth="1"/>
    <col min="2834" max="2834" width="16.5703125" style="1046" customWidth="1"/>
    <col min="2835" max="2835" width="5.140625" style="1046" customWidth="1"/>
    <col min="2836" max="2836" width="16.5703125" style="1046" customWidth="1"/>
    <col min="2837" max="2837" width="5.140625" style="1046" customWidth="1"/>
    <col min="2838" max="2838" width="15.28515625" style="1046" customWidth="1"/>
    <col min="2839" max="2839" width="4.7109375" style="1046" customWidth="1"/>
    <col min="2840" max="2840" width="0" style="1046" hidden="1" customWidth="1"/>
    <col min="2841" max="2841" width="6.5703125" style="1046" customWidth="1"/>
    <col min="2842" max="2842" width="10.5703125" style="1046" customWidth="1"/>
    <col min="2843" max="2843" width="17.42578125" style="1046" customWidth="1"/>
    <col min="2844" max="2844" width="7.7109375" style="1046" customWidth="1"/>
    <col min="2845" max="2845" width="15.42578125" style="1046" customWidth="1"/>
    <col min="2846" max="2846" width="16.42578125" style="1046" customWidth="1"/>
    <col min="2847" max="2847" width="17.28515625" style="1046" customWidth="1"/>
    <col min="2848" max="2848" width="0" style="1046" hidden="1" customWidth="1"/>
    <col min="2849" max="2849" width="19" style="1046" customWidth="1"/>
    <col min="2850" max="2852" width="26" style="1046" customWidth="1"/>
    <col min="2853" max="2853" width="35.42578125" style="1046" customWidth="1"/>
    <col min="2854" max="2854" width="27.5703125" style="1046" customWidth="1"/>
    <col min="2855" max="2855" width="9.140625" style="1046"/>
    <col min="2856" max="2856" width="26.7109375" style="1046" customWidth="1"/>
    <col min="2857" max="2857" width="17.28515625" style="1046" customWidth="1"/>
    <col min="2858" max="3023" width="9.140625" style="1046"/>
    <col min="3024" max="3025" width="3" style="1046" customWidth="1"/>
    <col min="3026" max="3026" width="4.42578125" style="1046" bestFit="1" customWidth="1"/>
    <col min="3027" max="3027" width="59.140625" style="1046" customWidth="1"/>
    <col min="3028" max="3028" width="0" style="1046" hidden="1" customWidth="1"/>
    <col min="3029" max="3029" width="12.7109375" style="1046" customWidth="1"/>
    <col min="3030" max="3030" width="8.28515625" style="1046" customWidth="1"/>
    <col min="3031" max="3031" width="14.42578125" style="1046" customWidth="1"/>
    <col min="3032" max="3032" width="7.28515625" style="1046" customWidth="1"/>
    <col min="3033" max="3033" width="9.5703125" style="1046" customWidth="1"/>
    <col min="3034" max="3034" width="17" style="1046" customWidth="1"/>
    <col min="3035" max="3035" width="0" style="1046" hidden="1" customWidth="1"/>
    <col min="3036" max="3036" width="15.140625" style="1046" customWidth="1"/>
    <col min="3037" max="3037" width="13.85546875" style="1046" customWidth="1"/>
    <col min="3038" max="3038" width="4.42578125" style="1046" customWidth="1"/>
    <col min="3039" max="3039" width="12.28515625" style="1046" customWidth="1"/>
    <col min="3040" max="3040" width="6" style="1046" customWidth="1"/>
    <col min="3041" max="3041" width="19.85546875" style="1046" customWidth="1"/>
    <col min="3042" max="3042" width="5.140625" style="1046" customWidth="1"/>
    <col min="3043" max="3043" width="17.28515625" style="1046" bestFit="1" customWidth="1"/>
    <col min="3044" max="3045" width="0" style="1046" hidden="1" customWidth="1"/>
    <col min="3046" max="3046" width="5.85546875" style="1046" customWidth="1"/>
    <col min="3047" max="3047" width="10.42578125" style="1046" customWidth="1"/>
    <col min="3048" max="3048" width="15.42578125" style="1046" customWidth="1"/>
    <col min="3049" max="3049" width="11.85546875" style="1046" customWidth="1"/>
    <col min="3050" max="3050" width="16.42578125" style="1046" customWidth="1"/>
    <col min="3051" max="3051" width="17.28515625" style="1046" customWidth="1"/>
    <col min="3052" max="3052" width="19" style="1046" bestFit="1" customWidth="1"/>
    <col min="3053" max="3053" width="20" style="1046" customWidth="1"/>
    <col min="3054" max="3054" width="18.7109375" style="1046" bestFit="1" customWidth="1"/>
    <col min="3055" max="3055" width="17.85546875" style="1046" bestFit="1" customWidth="1"/>
    <col min="3056" max="3056" width="16.42578125" style="1046" bestFit="1" customWidth="1"/>
    <col min="3057" max="3071" width="9.140625" style="1046"/>
    <col min="3072" max="3072" width="6.85546875" style="1046" customWidth="1"/>
    <col min="3073" max="3073" width="54.85546875" style="1046" customWidth="1"/>
    <col min="3074" max="3074" width="0" style="1046" hidden="1" customWidth="1"/>
    <col min="3075" max="3075" width="12.7109375" style="1046" customWidth="1"/>
    <col min="3076" max="3076" width="13.85546875" style="1046" customWidth="1"/>
    <col min="3077" max="3077" width="19.42578125" style="1046" customWidth="1"/>
    <col min="3078" max="3078" width="9.28515625" style="1046" customWidth="1"/>
    <col min="3079" max="3079" width="11.85546875" style="1046" customWidth="1"/>
    <col min="3080" max="3080" width="16.42578125" style="1046" customWidth="1"/>
    <col min="3081" max="3081" width="0" style="1046" hidden="1" customWidth="1"/>
    <col min="3082" max="3082" width="16.5703125" style="1046" customWidth="1"/>
    <col min="3083" max="3084" width="0" style="1046" hidden="1" customWidth="1"/>
    <col min="3085" max="3086" width="16.5703125" style="1046" customWidth="1"/>
    <col min="3087" max="3087" width="5.140625" style="1046" customWidth="1"/>
    <col min="3088" max="3088" width="16.5703125" style="1046" customWidth="1"/>
    <col min="3089" max="3089" width="5.140625" style="1046" customWidth="1"/>
    <col min="3090" max="3090" width="16.5703125" style="1046" customWidth="1"/>
    <col min="3091" max="3091" width="5.140625" style="1046" customWidth="1"/>
    <col min="3092" max="3092" width="16.5703125" style="1046" customWidth="1"/>
    <col min="3093" max="3093" width="5.140625" style="1046" customWidth="1"/>
    <col min="3094" max="3094" width="15.28515625" style="1046" customWidth="1"/>
    <col min="3095" max="3095" width="4.7109375" style="1046" customWidth="1"/>
    <col min="3096" max="3096" width="0" style="1046" hidden="1" customWidth="1"/>
    <col min="3097" max="3097" width="6.5703125" style="1046" customWidth="1"/>
    <col min="3098" max="3098" width="10.5703125" style="1046" customWidth="1"/>
    <col min="3099" max="3099" width="17.42578125" style="1046" customWidth="1"/>
    <col min="3100" max="3100" width="7.7109375" style="1046" customWidth="1"/>
    <col min="3101" max="3101" width="15.42578125" style="1046" customWidth="1"/>
    <col min="3102" max="3102" width="16.42578125" style="1046" customWidth="1"/>
    <col min="3103" max="3103" width="17.28515625" style="1046" customWidth="1"/>
    <col min="3104" max="3104" width="0" style="1046" hidden="1" customWidth="1"/>
    <col min="3105" max="3105" width="19" style="1046" customWidth="1"/>
    <col min="3106" max="3108" width="26" style="1046" customWidth="1"/>
    <col min="3109" max="3109" width="35.42578125" style="1046" customWidth="1"/>
    <col min="3110" max="3110" width="27.5703125" style="1046" customWidth="1"/>
    <col min="3111" max="3111" width="9.140625" style="1046"/>
    <col min="3112" max="3112" width="26.7109375" style="1046" customWidth="1"/>
    <col min="3113" max="3113" width="17.28515625" style="1046" customWidth="1"/>
    <col min="3114" max="3279" width="9.140625" style="1046"/>
    <col min="3280" max="3281" width="3" style="1046" customWidth="1"/>
    <col min="3282" max="3282" width="4.42578125" style="1046" bestFit="1" customWidth="1"/>
    <col min="3283" max="3283" width="59.140625" style="1046" customWidth="1"/>
    <col min="3284" max="3284" width="0" style="1046" hidden="1" customWidth="1"/>
    <col min="3285" max="3285" width="12.7109375" style="1046" customWidth="1"/>
    <col min="3286" max="3286" width="8.28515625" style="1046" customWidth="1"/>
    <col min="3287" max="3287" width="14.42578125" style="1046" customWidth="1"/>
    <col min="3288" max="3288" width="7.28515625" style="1046" customWidth="1"/>
    <col min="3289" max="3289" width="9.5703125" style="1046" customWidth="1"/>
    <col min="3290" max="3290" width="17" style="1046" customWidth="1"/>
    <col min="3291" max="3291" width="0" style="1046" hidden="1" customWidth="1"/>
    <col min="3292" max="3292" width="15.140625" style="1046" customWidth="1"/>
    <col min="3293" max="3293" width="13.85546875" style="1046" customWidth="1"/>
    <col min="3294" max="3294" width="4.42578125" style="1046" customWidth="1"/>
    <col min="3295" max="3295" width="12.28515625" style="1046" customWidth="1"/>
    <col min="3296" max="3296" width="6" style="1046" customWidth="1"/>
    <col min="3297" max="3297" width="19.85546875" style="1046" customWidth="1"/>
    <col min="3298" max="3298" width="5.140625" style="1046" customWidth="1"/>
    <col min="3299" max="3299" width="17.28515625" style="1046" bestFit="1" customWidth="1"/>
    <col min="3300" max="3301" width="0" style="1046" hidden="1" customWidth="1"/>
    <col min="3302" max="3302" width="5.85546875" style="1046" customWidth="1"/>
    <col min="3303" max="3303" width="10.42578125" style="1046" customWidth="1"/>
    <col min="3304" max="3304" width="15.42578125" style="1046" customWidth="1"/>
    <col min="3305" max="3305" width="11.85546875" style="1046" customWidth="1"/>
    <col min="3306" max="3306" width="16.42578125" style="1046" customWidth="1"/>
    <col min="3307" max="3307" width="17.28515625" style="1046" customWidth="1"/>
    <col min="3308" max="3308" width="19" style="1046" bestFit="1" customWidth="1"/>
    <col min="3309" max="3309" width="20" style="1046" customWidth="1"/>
    <col min="3310" max="3310" width="18.7109375" style="1046" bestFit="1" customWidth="1"/>
    <col min="3311" max="3311" width="17.85546875" style="1046" bestFit="1" customWidth="1"/>
    <col min="3312" max="3312" width="16.42578125" style="1046" bestFit="1" customWidth="1"/>
    <col min="3313" max="3327" width="9.140625" style="1046"/>
    <col min="3328" max="3328" width="6.85546875" style="1046" customWidth="1"/>
    <col min="3329" max="3329" width="54.85546875" style="1046" customWidth="1"/>
    <col min="3330" max="3330" width="0" style="1046" hidden="1" customWidth="1"/>
    <col min="3331" max="3331" width="12.7109375" style="1046" customWidth="1"/>
    <col min="3332" max="3332" width="13.85546875" style="1046" customWidth="1"/>
    <col min="3333" max="3333" width="19.42578125" style="1046" customWidth="1"/>
    <col min="3334" max="3334" width="9.28515625" style="1046" customWidth="1"/>
    <col min="3335" max="3335" width="11.85546875" style="1046" customWidth="1"/>
    <col min="3336" max="3336" width="16.42578125" style="1046" customWidth="1"/>
    <col min="3337" max="3337" width="0" style="1046" hidden="1" customWidth="1"/>
    <col min="3338" max="3338" width="16.5703125" style="1046" customWidth="1"/>
    <col min="3339" max="3340" width="0" style="1046" hidden="1" customWidth="1"/>
    <col min="3341" max="3342" width="16.5703125" style="1046" customWidth="1"/>
    <col min="3343" max="3343" width="5.140625" style="1046" customWidth="1"/>
    <col min="3344" max="3344" width="16.5703125" style="1046" customWidth="1"/>
    <col min="3345" max="3345" width="5.140625" style="1046" customWidth="1"/>
    <col min="3346" max="3346" width="16.5703125" style="1046" customWidth="1"/>
    <col min="3347" max="3347" width="5.140625" style="1046" customWidth="1"/>
    <col min="3348" max="3348" width="16.5703125" style="1046" customWidth="1"/>
    <col min="3349" max="3349" width="5.140625" style="1046" customWidth="1"/>
    <col min="3350" max="3350" width="15.28515625" style="1046" customWidth="1"/>
    <col min="3351" max="3351" width="4.7109375" style="1046" customWidth="1"/>
    <col min="3352" max="3352" width="0" style="1046" hidden="1" customWidth="1"/>
    <col min="3353" max="3353" width="6.5703125" style="1046" customWidth="1"/>
    <col min="3354" max="3354" width="10.5703125" style="1046" customWidth="1"/>
    <col min="3355" max="3355" width="17.42578125" style="1046" customWidth="1"/>
    <col min="3356" max="3356" width="7.7109375" style="1046" customWidth="1"/>
    <col min="3357" max="3357" width="15.42578125" style="1046" customWidth="1"/>
    <col min="3358" max="3358" width="16.42578125" style="1046" customWidth="1"/>
    <col min="3359" max="3359" width="17.28515625" style="1046" customWidth="1"/>
    <col min="3360" max="3360" width="0" style="1046" hidden="1" customWidth="1"/>
    <col min="3361" max="3361" width="19" style="1046" customWidth="1"/>
    <col min="3362" max="3364" width="26" style="1046" customWidth="1"/>
    <col min="3365" max="3365" width="35.42578125" style="1046" customWidth="1"/>
    <col min="3366" max="3366" width="27.5703125" style="1046" customWidth="1"/>
    <col min="3367" max="3367" width="9.140625" style="1046"/>
    <col min="3368" max="3368" width="26.7109375" style="1046" customWidth="1"/>
    <col min="3369" max="3369" width="17.28515625" style="1046" customWidth="1"/>
    <col min="3370" max="3535" width="9.140625" style="1046"/>
    <col min="3536" max="3537" width="3" style="1046" customWidth="1"/>
    <col min="3538" max="3538" width="4.42578125" style="1046" bestFit="1" customWidth="1"/>
    <col min="3539" max="3539" width="59.140625" style="1046" customWidth="1"/>
    <col min="3540" max="3540" width="0" style="1046" hidden="1" customWidth="1"/>
    <col min="3541" max="3541" width="12.7109375" style="1046" customWidth="1"/>
    <col min="3542" max="3542" width="8.28515625" style="1046" customWidth="1"/>
    <col min="3543" max="3543" width="14.42578125" style="1046" customWidth="1"/>
    <col min="3544" max="3544" width="7.28515625" style="1046" customWidth="1"/>
    <col min="3545" max="3545" width="9.5703125" style="1046" customWidth="1"/>
    <col min="3546" max="3546" width="17" style="1046" customWidth="1"/>
    <col min="3547" max="3547" width="0" style="1046" hidden="1" customWidth="1"/>
    <col min="3548" max="3548" width="15.140625" style="1046" customWidth="1"/>
    <col min="3549" max="3549" width="13.85546875" style="1046" customWidth="1"/>
    <col min="3550" max="3550" width="4.42578125" style="1046" customWidth="1"/>
    <col min="3551" max="3551" width="12.28515625" style="1046" customWidth="1"/>
    <col min="3552" max="3552" width="6" style="1046" customWidth="1"/>
    <col min="3553" max="3553" width="19.85546875" style="1046" customWidth="1"/>
    <col min="3554" max="3554" width="5.140625" style="1046" customWidth="1"/>
    <col min="3555" max="3555" width="17.28515625" style="1046" bestFit="1" customWidth="1"/>
    <col min="3556" max="3557" width="0" style="1046" hidden="1" customWidth="1"/>
    <col min="3558" max="3558" width="5.85546875" style="1046" customWidth="1"/>
    <col min="3559" max="3559" width="10.42578125" style="1046" customWidth="1"/>
    <col min="3560" max="3560" width="15.42578125" style="1046" customWidth="1"/>
    <col min="3561" max="3561" width="11.85546875" style="1046" customWidth="1"/>
    <col min="3562" max="3562" width="16.42578125" style="1046" customWidth="1"/>
    <col min="3563" max="3563" width="17.28515625" style="1046" customWidth="1"/>
    <col min="3564" max="3564" width="19" style="1046" bestFit="1" customWidth="1"/>
    <col min="3565" max="3565" width="20" style="1046" customWidth="1"/>
    <col min="3566" max="3566" width="18.7109375" style="1046" bestFit="1" customWidth="1"/>
    <col min="3567" max="3567" width="17.85546875" style="1046" bestFit="1" customWidth="1"/>
    <col min="3568" max="3568" width="16.42578125" style="1046" bestFit="1" customWidth="1"/>
    <col min="3569" max="3583" width="9.140625" style="1046"/>
    <col min="3584" max="3584" width="6.85546875" style="1046" customWidth="1"/>
    <col min="3585" max="3585" width="54.85546875" style="1046" customWidth="1"/>
    <col min="3586" max="3586" width="0" style="1046" hidden="1" customWidth="1"/>
    <col min="3587" max="3587" width="12.7109375" style="1046" customWidth="1"/>
    <col min="3588" max="3588" width="13.85546875" style="1046" customWidth="1"/>
    <col min="3589" max="3589" width="19.42578125" style="1046" customWidth="1"/>
    <col min="3590" max="3590" width="9.28515625" style="1046" customWidth="1"/>
    <col min="3591" max="3591" width="11.85546875" style="1046" customWidth="1"/>
    <col min="3592" max="3592" width="16.42578125" style="1046" customWidth="1"/>
    <col min="3593" max="3593" width="0" style="1046" hidden="1" customWidth="1"/>
    <col min="3594" max="3594" width="16.5703125" style="1046" customWidth="1"/>
    <col min="3595" max="3596" width="0" style="1046" hidden="1" customWidth="1"/>
    <col min="3597" max="3598" width="16.5703125" style="1046" customWidth="1"/>
    <col min="3599" max="3599" width="5.140625" style="1046" customWidth="1"/>
    <col min="3600" max="3600" width="16.5703125" style="1046" customWidth="1"/>
    <col min="3601" max="3601" width="5.140625" style="1046" customWidth="1"/>
    <col min="3602" max="3602" width="16.5703125" style="1046" customWidth="1"/>
    <col min="3603" max="3603" width="5.140625" style="1046" customWidth="1"/>
    <col min="3604" max="3604" width="16.5703125" style="1046" customWidth="1"/>
    <col min="3605" max="3605" width="5.140625" style="1046" customWidth="1"/>
    <col min="3606" max="3606" width="15.28515625" style="1046" customWidth="1"/>
    <col min="3607" max="3607" width="4.7109375" style="1046" customWidth="1"/>
    <col min="3608" max="3608" width="0" style="1046" hidden="1" customWidth="1"/>
    <col min="3609" max="3609" width="6.5703125" style="1046" customWidth="1"/>
    <col min="3610" max="3610" width="10.5703125" style="1046" customWidth="1"/>
    <col min="3611" max="3611" width="17.42578125" style="1046" customWidth="1"/>
    <col min="3612" max="3612" width="7.7109375" style="1046" customWidth="1"/>
    <col min="3613" max="3613" width="15.42578125" style="1046" customWidth="1"/>
    <col min="3614" max="3614" width="16.42578125" style="1046" customWidth="1"/>
    <col min="3615" max="3615" width="17.28515625" style="1046" customWidth="1"/>
    <col min="3616" max="3616" width="0" style="1046" hidden="1" customWidth="1"/>
    <col min="3617" max="3617" width="19" style="1046" customWidth="1"/>
    <col min="3618" max="3620" width="26" style="1046" customWidth="1"/>
    <col min="3621" max="3621" width="35.42578125" style="1046" customWidth="1"/>
    <col min="3622" max="3622" width="27.5703125" style="1046" customWidth="1"/>
    <col min="3623" max="3623" width="9.140625" style="1046"/>
    <col min="3624" max="3624" width="26.7109375" style="1046" customWidth="1"/>
    <col min="3625" max="3625" width="17.28515625" style="1046" customWidth="1"/>
    <col min="3626" max="3791" width="9.140625" style="1046"/>
    <col min="3792" max="3793" width="3" style="1046" customWidth="1"/>
    <col min="3794" max="3794" width="4.42578125" style="1046" bestFit="1" customWidth="1"/>
    <col min="3795" max="3795" width="59.140625" style="1046" customWidth="1"/>
    <col min="3796" max="3796" width="0" style="1046" hidden="1" customWidth="1"/>
    <col min="3797" max="3797" width="12.7109375" style="1046" customWidth="1"/>
    <col min="3798" max="3798" width="8.28515625" style="1046" customWidth="1"/>
    <col min="3799" max="3799" width="14.42578125" style="1046" customWidth="1"/>
    <col min="3800" max="3800" width="7.28515625" style="1046" customWidth="1"/>
    <col min="3801" max="3801" width="9.5703125" style="1046" customWidth="1"/>
    <col min="3802" max="3802" width="17" style="1046" customWidth="1"/>
    <col min="3803" max="3803" width="0" style="1046" hidden="1" customWidth="1"/>
    <col min="3804" max="3804" width="15.140625" style="1046" customWidth="1"/>
    <col min="3805" max="3805" width="13.85546875" style="1046" customWidth="1"/>
    <col min="3806" max="3806" width="4.42578125" style="1046" customWidth="1"/>
    <col min="3807" max="3807" width="12.28515625" style="1046" customWidth="1"/>
    <col min="3808" max="3808" width="6" style="1046" customWidth="1"/>
    <col min="3809" max="3809" width="19.85546875" style="1046" customWidth="1"/>
    <col min="3810" max="3810" width="5.140625" style="1046" customWidth="1"/>
    <col min="3811" max="3811" width="17.28515625" style="1046" bestFit="1" customWidth="1"/>
    <col min="3812" max="3813" width="0" style="1046" hidden="1" customWidth="1"/>
    <col min="3814" max="3814" width="5.85546875" style="1046" customWidth="1"/>
    <col min="3815" max="3815" width="10.42578125" style="1046" customWidth="1"/>
    <col min="3816" max="3816" width="15.42578125" style="1046" customWidth="1"/>
    <col min="3817" max="3817" width="11.85546875" style="1046" customWidth="1"/>
    <col min="3818" max="3818" width="16.42578125" style="1046" customWidth="1"/>
    <col min="3819" max="3819" width="17.28515625" style="1046" customWidth="1"/>
    <col min="3820" max="3820" width="19" style="1046" bestFit="1" customWidth="1"/>
    <col min="3821" max="3821" width="20" style="1046" customWidth="1"/>
    <col min="3822" max="3822" width="18.7109375" style="1046" bestFit="1" customWidth="1"/>
    <col min="3823" max="3823" width="17.85546875" style="1046" bestFit="1" customWidth="1"/>
    <col min="3824" max="3824" width="16.42578125" style="1046" bestFit="1" customWidth="1"/>
    <col min="3825" max="3839" width="9.140625" style="1046"/>
    <col min="3840" max="3840" width="6.85546875" style="1046" customWidth="1"/>
    <col min="3841" max="3841" width="54.85546875" style="1046" customWidth="1"/>
    <col min="3842" max="3842" width="0" style="1046" hidden="1" customWidth="1"/>
    <col min="3843" max="3843" width="12.7109375" style="1046" customWidth="1"/>
    <col min="3844" max="3844" width="13.85546875" style="1046" customWidth="1"/>
    <col min="3845" max="3845" width="19.42578125" style="1046" customWidth="1"/>
    <col min="3846" max="3846" width="9.28515625" style="1046" customWidth="1"/>
    <col min="3847" max="3847" width="11.85546875" style="1046" customWidth="1"/>
    <col min="3848" max="3848" width="16.42578125" style="1046" customWidth="1"/>
    <col min="3849" max="3849" width="0" style="1046" hidden="1" customWidth="1"/>
    <col min="3850" max="3850" width="16.5703125" style="1046" customWidth="1"/>
    <col min="3851" max="3852" width="0" style="1046" hidden="1" customWidth="1"/>
    <col min="3853" max="3854" width="16.5703125" style="1046" customWidth="1"/>
    <col min="3855" max="3855" width="5.140625" style="1046" customWidth="1"/>
    <col min="3856" max="3856" width="16.5703125" style="1046" customWidth="1"/>
    <col min="3857" max="3857" width="5.140625" style="1046" customWidth="1"/>
    <col min="3858" max="3858" width="16.5703125" style="1046" customWidth="1"/>
    <col min="3859" max="3859" width="5.140625" style="1046" customWidth="1"/>
    <col min="3860" max="3860" width="16.5703125" style="1046" customWidth="1"/>
    <col min="3861" max="3861" width="5.140625" style="1046" customWidth="1"/>
    <col min="3862" max="3862" width="15.28515625" style="1046" customWidth="1"/>
    <col min="3863" max="3863" width="4.7109375" style="1046" customWidth="1"/>
    <col min="3864" max="3864" width="0" style="1046" hidden="1" customWidth="1"/>
    <col min="3865" max="3865" width="6.5703125" style="1046" customWidth="1"/>
    <col min="3866" max="3866" width="10.5703125" style="1046" customWidth="1"/>
    <col min="3867" max="3867" width="17.42578125" style="1046" customWidth="1"/>
    <col min="3868" max="3868" width="7.7109375" style="1046" customWidth="1"/>
    <col min="3869" max="3869" width="15.42578125" style="1046" customWidth="1"/>
    <col min="3870" max="3870" width="16.42578125" style="1046" customWidth="1"/>
    <col min="3871" max="3871" width="17.28515625" style="1046" customWidth="1"/>
    <col min="3872" max="3872" width="0" style="1046" hidden="1" customWidth="1"/>
    <col min="3873" max="3873" width="19" style="1046" customWidth="1"/>
    <col min="3874" max="3876" width="26" style="1046" customWidth="1"/>
    <col min="3877" max="3877" width="35.42578125" style="1046" customWidth="1"/>
    <col min="3878" max="3878" width="27.5703125" style="1046" customWidth="1"/>
    <col min="3879" max="3879" width="9.140625" style="1046"/>
    <col min="3880" max="3880" width="26.7109375" style="1046" customWidth="1"/>
    <col min="3881" max="3881" width="17.28515625" style="1046" customWidth="1"/>
    <col min="3882" max="4047" width="9.140625" style="1046"/>
    <col min="4048" max="4049" width="3" style="1046" customWidth="1"/>
    <col min="4050" max="4050" width="4.42578125" style="1046" bestFit="1" customWidth="1"/>
    <col min="4051" max="4051" width="59.140625" style="1046" customWidth="1"/>
    <col min="4052" max="4052" width="0" style="1046" hidden="1" customWidth="1"/>
    <col min="4053" max="4053" width="12.7109375" style="1046" customWidth="1"/>
    <col min="4054" max="4054" width="8.28515625" style="1046" customWidth="1"/>
    <col min="4055" max="4055" width="14.42578125" style="1046" customWidth="1"/>
    <col min="4056" max="4056" width="7.28515625" style="1046" customWidth="1"/>
    <col min="4057" max="4057" width="9.5703125" style="1046" customWidth="1"/>
    <col min="4058" max="4058" width="17" style="1046" customWidth="1"/>
    <col min="4059" max="4059" width="0" style="1046" hidden="1" customWidth="1"/>
    <col min="4060" max="4060" width="15.140625" style="1046" customWidth="1"/>
    <col min="4061" max="4061" width="13.85546875" style="1046" customWidth="1"/>
    <col min="4062" max="4062" width="4.42578125" style="1046" customWidth="1"/>
    <col min="4063" max="4063" width="12.28515625" style="1046" customWidth="1"/>
    <col min="4064" max="4064" width="6" style="1046" customWidth="1"/>
    <col min="4065" max="4065" width="19.85546875" style="1046" customWidth="1"/>
    <col min="4066" max="4066" width="5.140625" style="1046" customWidth="1"/>
    <col min="4067" max="4067" width="17.28515625" style="1046" bestFit="1" customWidth="1"/>
    <col min="4068" max="4069" width="0" style="1046" hidden="1" customWidth="1"/>
    <col min="4070" max="4070" width="5.85546875" style="1046" customWidth="1"/>
    <col min="4071" max="4071" width="10.42578125" style="1046" customWidth="1"/>
    <col min="4072" max="4072" width="15.42578125" style="1046" customWidth="1"/>
    <col min="4073" max="4073" width="11.85546875" style="1046" customWidth="1"/>
    <col min="4074" max="4074" width="16.42578125" style="1046" customWidth="1"/>
    <col min="4075" max="4075" width="17.28515625" style="1046" customWidth="1"/>
    <col min="4076" max="4076" width="19" style="1046" bestFit="1" customWidth="1"/>
    <col min="4077" max="4077" width="20" style="1046" customWidth="1"/>
    <col min="4078" max="4078" width="18.7109375" style="1046" bestFit="1" customWidth="1"/>
    <col min="4079" max="4079" width="17.85546875" style="1046" bestFit="1" customWidth="1"/>
    <col min="4080" max="4080" width="16.42578125" style="1046" bestFit="1" customWidth="1"/>
    <col min="4081" max="4095" width="9.140625" style="1046"/>
    <col min="4096" max="4096" width="6.85546875" style="1046" customWidth="1"/>
    <col min="4097" max="4097" width="54.85546875" style="1046" customWidth="1"/>
    <col min="4098" max="4098" width="0" style="1046" hidden="1" customWidth="1"/>
    <col min="4099" max="4099" width="12.7109375" style="1046" customWidth="1"/>
    <col min="4100" max="4100" width="13.85546875" style="1046" customWidth="1"/>
    <col min="4101" max="4101" width="19.42578125" style="1046" customWidth="1"/>
    <col min="4102" max="4102" width="9.28515625" style="1046" customWidth="1"/>
    <col min="4103" max="4103" width="11.85546875" style="1046" customWidth="1"/>
    <col min="4104" max="4104" width="16.42578125" style="1046" customWidth="1"/>
    <col min="4105" max="4105" width="0" style="1046" hidden="1" customWidth="1"/>
    <col min="4106" max="4106" width="16.5703125" style="1046" customWidth="1"/>
    <col min="4107" max="4108" width="0" style="1046" hidden="1" customWidth="1"/>
    <col min="4109" max="4110" width="16.5703125" style="1046" customWidth="1"/>
    <col min="4111" max="4111" width="5.140625" style="1046" customWidth="1"/>
    <col min="4112" max="4112" width="16.5703125" style="1046" customWidth="1"/>
    <col min="4113" max="4113" width="5.140625" style="1046" customWidth="1"/>
    <col min="4114" max="4114" width="16.5703125" style="1046" customWidth="1"/>
    <col min="4115" max="4115" width="5.140625" style="1046" customWidth="1"/>
    <col min="4116" max="4116" width="16.5703125" style="1046" customWidth="1"/>
    <col min="4117" max="4117" width="5.140625" style="1046" customWidth="1"/>
    <col min="4118" max="4118" width="15.28515625" style="1046" customWidth="1"/>
    <col min="4119" max="4119" width="4.7109375" style="1046" customWidth="1"/>
    <col min="4120" max="4120" width="0" style="1046" hidden="1" customWidth="1"/>
    <col min="4121" max="4121" width="6.5703125" style="1046" customWidth="1"/>
    <col min="4122" max="4122" width="10.5703125" style="1046" customWidth="1"/>
    <col min="4123" max="4123" width="17.42578125" style="1046" customWidth="1"/>
    <col min="4124" max="4124" width="7.7109375" style="1046" customWidth="1"/>
    <col min="4125" max="4125" width="15.42578125" style="1046" customWidth="1"/>
    <col min="4126" max="4126" width="16.42578125" style="1046" customWidth="1"/>
    <col min="4127" max="4127" width="17.28515625" style="1046" customWidth="1"/>
    <col min="4128" max="4128" width="0" style="1046" hidden="1" customWidth="1"/>
    <col min="4129" max="4129" width="19" style="1046" customWidth="1"/>
    <col min="4130" max="4132" width="26" style="1046" customWidth="1"/>
    <col min="4133" max="4133" width="35.42578125" style="1046" customWidth="1"/>
    <col min="4134" max="4134" width="27.5703125" style="1046" customWidth="1"/>
    <col min="4135" max="4135" width="9.140625" style="1046"/>
    <col min="4136" max="4136" width="26.7109375" style="1046" customWidth="1"/>
    <col min="4137" max="4137" width="17.28515625" style="1046" customWidth="1"/>
    <col min="4138" max="4303" width="9.140625" style="1046"/>
    <col min="4304" max="4305" width="3" style="1046" customWidth="1"/>
    <col min="4306" max="4306" width="4.42578125" style="1046" bestFit="1" customWidth="1"/>
    <col min="4307" max="4307" width="59.140625" style="1046" customWidth="1"/>
    <col min="4308" max="4308" width="0" style="1046" hidden="1" customWidth="1"/>
    <col min="4309" max="4309" width="12.7109375" style="1046" customWidth="1"/>
    <col min="4310" max="4310" width="8.28515625" style="1046" customWidth="1"/>
    <col min="4311" max="4311" width="14.42578125" style="1046" customWidth="1"/>
    <col min="4312" max="4312" width="7.28515625" style="1046" customWidth="1"/>
    <col min="4313" max="4313" width="9.5703125" style="1046" customWidth="1"/>
    <col min="4314" max="4314" width="17" style="1046" customWidth="1"/>
    <col min="4315" max="4315" width="0" style="1046" hidden="1" customWidth="1"/>
    <col min="4316" max="4316" width="15.140625" style="1046" customWidth="1"/>
    <col min="4317" max="4317" width="13.85546875" style="1046" customWidth="1"/>
    <col min="4318" max="4318" width="4.42578125" style="1046" customWidth="1"/>
    <col min="4319" max="4319" width="12.28515625" style="1046" customWidth="1"/>
    <col min="4320" max="4320" width="6" style="1046" customWidth="1"/>
    <col min="4321" max="4321" width="19.85546875" style="1046" customWidth="1"/>
    <col min="4322" max="4322" width="5.140625" style="1046" customWidth="1"/>
    <col min="4323" max="4323" width="17.28515625" style="1046" bestFit="1" customWidth="1"/>
    <col min="4324" max="4325" width="0" style="1046" hidden="1" customWidth="1"/>
    <col min="4326" max="4326" width="5.85546875" style="1046" customWidth="1"/>
    <col min="4327" max="4327" width="10.42578125" style="1046" customWidth="1"/>
    <col min="4328" max="4328" width="15.42578125" style="1046" customWidth="1"/>
    <col min="4329" max="4329" width="11.85546875" style="1046" customWidth="1"/>
    <col min="4330" max="4330" width="16.42578125" style="1046" customWidth="1"/>
    <col min="4331" max="4331" width="17.28515625" style="1046" customWidth="1"/>
    <col min="4332" max="4332" width="19" style="1046" bestFit="1" customWidth="1"/>
    <col min="4333" max="4333" width="20" style="1046" customWidth="1"/>
    <col min="4334" max="4334" width="18.7109375" style="1046" bestFit="1" customWidth="1"/>
    <col min="4335" max="4335" width="17.85546875" style="1046" bestFit="1" customWidth="1"/>
    <col min="4336" max="4336" width="16.42578125" style="1046" bestFit="1" customWidth="1"/>
    <col min="4337" max="4351" width="9.140625" style="1046"/>
    <col min="4352" max="4352" width="6.85546875" style="1046" customWidth="1"/>
    <col min="4353" max="4353" width="54.85546875" style="1046" customWidth="1"/>
    <col min="4354" max="4354" width="0" style="1046" hidden="1" customWidth="1"/>
    <col min="4355" max="4355" width="12.7109375" style="1046" customWidth="1"/>
    <col min="4356" max="4356" width="13.85546875" style="1046" customWidth="1"/>
    <col min="4357" max="4357" width="19.42578125" style="1046" customWidth="1"/>
    <col min="4358" max="4358" width="9.28515625" style="1046" customWidth="1"/>
    <col min="4359" max="4359" width="11.85546875" style="1046" customWidth="1"/>
    <col min="4360" max="4360" width="16.42578125" style="1046" customWidth="1"/>
    <col min="4361" max="4361" width="0" style="1046" hidden="1" customWidth="1"/>
    <col min="4362" max="4362" width="16.5703125" style="1046" customWidth="1"/>
    <col min="4363" max="4364" width="0" style="1046" hidden="1" customWidth="1"/>
    <col min="4365" max="4366" width="16.5703125" style="1046" customWidth="1"/>
    <col min="4367" max="4367" width="5.140625" style="1046" customWidth="1"/>
    <col min="4368" max="4368" width="16.5703125" style="1046" customWidth="1"/>
    <col min="4369" max="4369" width="5.140625" style="1046" customWidth="1"/>
    <col min="4370" max="4370" width="16.5703125" style="1046" customWidth="1"/>
    <col min="4371" max="4371" width="5.140625" style="1046" customWidth="1"/>
    <col min="4372" max="4372" width="16.5703125" style="1046" customWidth="1"/>
    <col min="4373" max="4373" width="5.140625" style="1046" customWidth="1"/>
    <col min="4374" max="4374" width="15.28515625" style="1046" customWidth="1"/>
    <col min="4375" max="4375" width="4.7109375" style="1046" customWidth="1"/>
    <col min="4376" max="4376" width="0" style="1046" hidden="1" customWidth="1"/>
    <col min="4377" max="4377" width="6.5703125" style="1046" customWidth="1"/>
    <col min="4378" max="4378" width="10.5703125" style="1046" customWidth="1"/>
    <col min="4379" max="4379" width="17.42578125" style="1046" customWidth="1"/>
    <col min="4380" max="4380" width="7.7109375" style="1046" customWidth="1"/>
    <col min="4381" max="4381" width="15.42578125" style="1046" customWidth="1"/>
    <col min="4382" max="4382" width="16.42578125" style="1046" customWidth="1"/>
    <col min="4383" max="4383" width="17.28515625" style="1046" customWidth="1"/>
    <col min="4384" max="4384" width="0" style="1046" hidden="1" customWidth="1"/>
    <col min="4385" max="4385" width="19" style="1046" customWidth="1"/>
    <col min="4386" max="4388" width="26" style="1046" customWidth="1"/>
    <col min="4389" max="4389" width="35.42578125" style="1046" customWidth="1"/>
    <col min="4390" max="4390" width="27.5703125" style="1046" customWidth="1"/>
    <col min="4391" max="4391" width="9.140625" style="1046"/>
    <col min="4392" max="4392" width="26.7109375" style="1046" customWidth="1"/>
    <col min="4393" max="4393" width="17.28515625" style="1046" customWidth="1"/>
    <col min="4394" max="4559" width="9.140625" style="1046"/>
    <col min="4560" max="4561" width="3" style="1046" customWidth="1"/>
    <col min="4562" max="4562" width="4.42578125" style="1046" bestFit="1" customWidth="1"/>
    <col min="4563" max="4563" width="59.140625" style="1046" customWidth="1"/>
    <col min="4564" max="4564" width="0" style="1046" hidden="1" customWidth="1"/>
    <col min="4565" max="4565" width="12.7109375" style="1046" customWidth="1"/>
    <col min="4566" max="4566" width="8.28515625" style="1046" customWidth="1"/>
    <col min="4567" max="4567" width="14.42578125" style="1046" customWidth="1"/>
    <col min="4568" max="4568" width="7.28515625" style="1046" customWidth="1"/>
    <col min="4569" max="4569" width="9.5703125" style="1046" customWidth="1"/>
    <col min="4570" max="4570" width="17" style="1046" customWidth="1"/>
    <col min="4571" max="4571" width="0" style="1046" hidden="1" customWidth="1"/>
    <col min="4572" max="4572" width="15.140625" style="1046" customWidth="1"/>
    <col min="4573" max="4573" width="13.85546875" style="1046" customWidth="1"/>
    <col min="4574" max="4574" width="4.42578125" style="1046" customWidth="1"/>
    <col min="4575" max="4575" width="12.28515625" style="1046" customWidth="1"/>
    <col min="4576" max="4576" width="6" style="1046" customWidth="1"/>
    <col min="4577" max="4577" width="19.85546875" style="1046" customWidth="1"/>
    <col min="4578" max="4578" width="5.140625" style="1046" customWidth="1"/>
    <col min="4579" max="4579" width="17.28515625" style="1046" bestFit="1" customWidth="1"/>
    <col min="4580" max="4581" width="0" style="1046" hidden="1" customWidth="1"/>
    <col min="4582" max="4582" width="5.85546875" style="1046" customWidth="1"/>
    <col min="4583" max="4583" width="10.42578125" style="1046" customWidth="1"/>
    <col min="4584" max="4584" width="15.42578125" style="1046" customWidth="1"/>
    <col min="4585" max="4585" width="11.85546875" style="1046" customWidth="1"/>
    <col min="4586" max="4586" width="16.42578125" style="1046" customWidth="1"/>
    <col min="4587" max="4587" width="17.28515625" style="1046" customWidth="1"/>
    <col min="4588" max="4588" width="19" style="1046" bestFit="1" customWidth="1"/>
    <col min="4589" max="4589" width="20" style="1046" customWidth="1"/>
    <col min="4590" max="4590" width="18.7109375" style="1046" bestFit="1" customWidth="1"/>
    <col min="4591" max="4591" width="17.85546875" style="1046" bestFit="1" customWidth="1"/>
    <col min="4592" max="4592" width="16.42578125" style="1046" bestFit="1" customWidth="1"/>
    <col min="4593" max="4607" width="9.140625" style="1046"/>
    <col min="4608" max="4608" width="6.85546875" style="1046" customWidth="1"/>
    <col min="4609" max="4609" width="54.85546875" style="1046" customWidth="1"/>
    <col min="4610" max="4610" width="0" style="1046" hidden="1" customWidth="1"/>
    <col min="4611" max="4611" width="12.7109375" style="1046" customWidth="1"/>
    <col min="4612" max="4612" width="13.85546875" style="1046" customWidth="1"/>
    <col min="4613" max="4613" width="19.42578125" style="1046" customWidth="1"/>
    <col min="4614" max="4614" width="9.28515625" style="1046" customWidth="1"/>
    <col min="4615" max="4615" width="11.85546875" style="1046" customWidth="1"/>
    <col min="4616" max="4616" width="16.42578125" style="1046" customWidth="1"/>
    <col min="4617" max="4617" width="0" style="1046" hidden="1" customWidth="1"/>
    <col min="4618" max="4618" width="16.5703125" style="1046" customWidth="1"/>
    <col min="4619" max="4620" width="0" style="1046" hidden="1" customWidth="1"/>
    <col min="4621" max="4622" width="16.5703125" style="1046" customWidth="1"/>
    <col min="4623" max="4623" width="5.140625" style="1046" customWidth="1"/>
    <col min="4624" max="4624" width="16.5703125" style="1046" customWidth="1"/>
    <col min="4625" max="4625" width="5.140625" style="1046" customWidth="1"/>
    <col min="4626" max="4626" width="16.5703125" style="1046" customWidth="1"/>
    <col min="4627" max="4627" width="5.140625" style="1046" customWidth="1"/>
    <col min="4628" max="4628" width="16.5703125" style="1046" customWidth="1"/>
    <col min="4629" max="4629" width="5.140625" style="1046" customWidth="1"/>
    <col min="4630" max="4630" width="15.28515625" style="1046" customWidth="1"/>
    <col min="4631" max="4631" width="4.7109375" style="1046" customWidth="1"/>
    <col min="4632" max="4632" width="0" style="1046" hidden="1" customWidth="1"/>
    <col min="4633" max="4633" width="6.5703125" style="1046" customWidth="1"/>
    <col min="4634" max="4634" width="10.5703125" style="1046" customWidth="1"/>
    <col min="4635" max="4635" width="17.42578125" style="1046" customWidth="1"/>
    <col min="4636" max="4636" width="7.7109375" style="1046" customWidth="1"/>
    <col min="4637" max="4637" width="15.42578125" style="1046" customWidth="1"/>
    <col min="4638" max="4638" width="16.42578125" style="1046" customWidth="1"/>
    <col min="4639" max="4639" width="17.28515625" style="1046" customWidth="1"/>
    <col min="4640" max="4640" width="0" style="1046" hidden="1" customWidth="1"/>
    <col min="4641" max="4641" width="19" style="1046" customWidth="1"/>
    <col min="4642" max="4644" width="26" style="1046" customWidth="1"/>
    <col min="4645" max="4645" width="35.42578125" style="1046" customWidth="1"/>
    <col min="4646" max="4646" width="27.5703125" style="1046" customWidth="1"/>
    <col min="4647" max="4647" width="9.140625" style="1046"/>
    <col min="4648" max="4648" width="26.7109375" style="1046" customWidth="1"/>
    <col min="4649" max="4649" width="17.28515625" style="1046" customWidth="1"/>
    <col min="4650" max="4815" width="9.140625" style="1046"/>
    <col min="4816" max="4817" width="3" style="1046" customWidth="1"/>
    <col min="4818" max="4818" width="4.42578125" style="1046" bestFit="1" customWidth="1"/>
    <col min="4819" max="4819" width="59.140625" style="1046" customWidth="1"/>
    <col min="4820" max="4820" width="0" style="1046" hidden="1" customWidth="1"/>
    <col min="4821" max="4821" width="12.7109375" style="1046" customWidth="1"/>
    <col min="4822" max="4822" width="8.28515625" style="1046" customWidth="1"/>
    <col min="4823" max="4823" width="14.42578125" style="1046" customWidth="1"/>
    <col min="4824" max="4824" width="7.28515625" style="1046" customWidth="1"/>
    <col min="4825" max="4825" width="9.5703125" style="1046" customWidth="1"/>
    <col min="4826" max="4826" width="17" style="1046" customWidth="1"/>
    <col min="4827" max="4827" width="0" style="1046" hidden="1" customWidth="1"/>
    <col min="4828" max="4828" width="15.140625" style="1046" customWidth="1"/>
    <col min="4829" max="4829" width="13.85546875" style="1046" customWidth="1"/>
    <col min="4830" max="4830" width="4.42578125" style="1046" customWidth="1"/>
    <col min="4831" max="4831" width="12.28515625" style="1046" customWidth="1"/>
    <col min="4832" max="4832" width="6" style="1046" customWidth="1"/>
    <col min="4833" max="4833" width="19.85546875" style="1046" customWidth="1"/>
    <col min="4834" max="4834" width="5.140625" style="1046" customWidth="1"/>
    <col min="4835" max="4835" width="17.28515625" style="1046" bestFit="1" customWidth="1"/>
    <col min="4836" max="4837" width="0" style="1046" hidden="1" customWidth="1"/>
    <col min="4838" max="4838" width="5.85546875" style="1046" customWidth="1"/>
    <col min="4839" max="4839" width="10.42578125" style="1046" customWidth="1"/>
    <col min="4840" max="4840" width="15.42578125" style="1046" customWidth="1"/>
    <col min="4841" max="4841" width="11.85546875" style="1046" customWidth="1"/>
    <col min="4842" max="4842" width="16.42578125" style="1046" customWidth="1"/>
    <col min="4843" max="4843" width="17.28515625" style="1046" customWidth="1"/>
    <col min="4844" max="4844" width="19" style="1046" bestFit="1" customWidth="1"/>
    <col min="4845" max="4845" width="20" style="1046" customWidth="1"/>
    <col min="4846" max="4846" width="18.7109375" style="1046" bestFit="1" customWidth="1"/>
    <col min="4847" max="4847" width="17.85546875" style="1046" bestFit="1" customWidth="1"/>
    <col min="4848" max="4848" width="16.42578125" style="1046" bestFit="1" customWidth="1"/>
    <col min="4849" max="4863" width="9.140625" style="1046"/>
    <col min="4864" max="4864" width="6.85546875" style="1046" customWidth="1"/>
    <col min="4865" max="4865" width="54.85546875" style="1046" customWidth="1"/>
    <col min="4866" max="4866" width="0" style="1046" hidden="1" customWidth="1"/>
    <col min="4867" max="4867" width="12.7109375" style="1046" customWidth="1"/>
    <col min="4868" max="4868" width="13.85546875" style="1046" customWidth="1"/>
    <col min="4869" max="4869" width="19.42578125" style="1046" customWidth="1"/>
    <col min="4870" max="4870" width="9.28515625" style="1046" customWidth="1"/>
    <col min="4871" max="4871" width="11.85546875" style="1046" customWidth="1"/>
    <col min="4872" max="4872" width="16.42578125" style="1046" customWidth="1"/>
    <col min="4873" max="4873" width="0" style="1046" hidden="1" customWidth="1"/>
    <col min="4874" max="4874" width="16.5703125" style="1046" customWidth="1"/>
    <col min="4875" max="4876" width="0" style="1046" hidden="1" customWidth="1"/>
    <col min="4877" max="4878" width="16.5703125" style="1046" customWidth="1"/>
    <col min="4879" max="4879" width="5.140625" style="1046" customWidth="1"/>
    <col min="4880" max="4880" width="16.5703125" style="1046" customWidth="1"/>
    <col min="4881" max="4881" width="5.140625" style="1046" customWidth="1"/>
    <col min="4882" max="4882" width="16.5703125" style="1046" customWidth="1"/>
    <col min="4883" max="4883" width="5.140625" style="1046" customWidth="1"/>
    <col min="4884" max="4884" width="16.5703125" style="1046" customWidth="1"/>
    <col min="4885" max="4885" width="5.140625" style="1046" customWidth="1"/>
    <col min="4886" max="4886" width="15.28515625" style="1046" customWidth="1"/>
    <col min="4887" max="4887" width="4.7109375" style="1046" customWidth="1"/>
    <col min="4888" max="4888" width="0" style="1046" hidden="1" customWidth="1"/>
    <col min="4889" max="4889" width="6.5703125" style="1046" customWidth="1"/>
    <col min="4890" max="4890" width="10.5703125" style="1046" customWidth="1"/>
    <col min="4891" max="4891" width="17.42578125" style="1046" customWidth="1"/>
    <col min="4892" max="4892" width="7.7109375" style="1046" customWidth="1"/>
    <col min="4893" max="4893" width="15.42578125" style="1046" customWidth="1"/>
    <col min="4894" max="4894" width="16.42578125" style="1046" customWidth="1"/>
    <col min="4895" max="4895" width="17.28515625" style="1046" customWidth="1"/>
    <col min="4896" max="4896" width="0" style="1046" hidden="1" customWidth="1"/>
    <col min="4897" max="4897" width="19" style="1046" customWidth="1"/>
    <col min="4898" max="4900" width="26" style="1046" customWidth="1"/>
    <col min="4901" max="4901" width="35.42578125" style="1046" customWidth="1"/>
    <col min="4902" max="4902" width="27.5703125" style="1046" customWidth="1"/>
    <col min="4903" max="4903" width="9.140625" style="1046"/>
    <col min="4904" max="4904" width="26.7109375" style="1046" customWidth="1"/>
    <col min="4905" max="4905" width="17.28515625" style="1046" customWidth="1"/>
    <col min="4906" max="5071" width="9.140625" style="1046"/>
    <col min="5072" max="5073" width="3" style="1046" customWidth="1"/>
    <col min="5074" max="5074" width="4.42578125" style="1046" bestFit="1" customWidth="1"/>
    <col min="5075" max="5075" width="59.140625" style="1046" customWidth="1"/>
    <col min="5076" max="5076" width="0" style="1046" hidden="1" customWidth="1"/>
    <col min="5077" max="5077" width="12.7109375" style="1046" customWidth="1"/>
    <col min="5078" max="5078" width="8.28515625" style="1046" customWidth="1"/>
    <col min="5079" max="5079" width="14.42578125" style="1046" customWidth="1"/>
    <col min="5080" max="5080" width="7.28515625" style="1046" customWidth="1"/>
    <col min="5081" max="5081" width="9.5703125" style="1046" customWidth="1"/>
    <col min="5082" max="5082" width="17" style="1046" customWidth="1"/>
    <col min="5083" max="5083" width="0" style="1046" hidden="1" customWidth="1"/>
    <col min="5084" max="5084" width="15.140625" style="1046" customWidth="1"/>
    <col min="5085" max="5085" width="13.85546875" style="1046" customWidth="1"/>
    <col min="5086" max="5086" width="4.42578125" style="1046" customWidth="1"/>
    <col min="5087" max="5087" width="12.28515625" style="1046" customWidth="1"/>
    <col min="5088" max="5088" width="6" style="1046" customWidth="1"/>
    <col min="5089" max="5089" width="19.85546875" style="1046" customWidth="1"/>
    <col min="5090" max="5090" width="5.140625" style="1046" customWidth="1"/>
    <col min="5091" max="5091" width="17.28515625" style="1046" bestFit="1" customWidth="1"/>
    <col min="5092" max="5093" width="0" style="1046" hidden="1" customWidth="1"/>
    <col min="5094" max="5094" width="5.85546875" style="1046" customWidth="1"/>
    <col min="5095" max="5095" width="10.42578125" style="1046" customWidth="1"/>
    <col min="5096" max="5096" width="15.42578125" style="1046" customWidth="1"/>
    <col min="5097" max="5097" width="11.85546875" style="1046" customWidth="1"/>
    <col min="5098" max="5098" width="16.42578125" style="1046" customWidth="1"/>
    <col min="5099" max="5099" width="17.28515625" style="1046" customWidth="1"/>
    <col min="5100" max="5100" width="19" style="1046" bestFit="1" customWidth="1"/>
    <col min="5101" max="5101" width="20" style="1046" customWidth="1"/>
    <col min="5102" max="5102" width="18.7109375" style="1046" bestFit="1" customWidth="1"/>
    <col min="5103" max="5103" width="17.85546875" style="1046" bestFit="1" customWidth="1"/>
    <col min="5104" max="5104" width="16.42578125" style="1046" bestFit="1" customWidth="1"/>
    <col min="5105" max="5119" width="9.140625" style="1046"/>
    <col min="5120" max="5120" width="6.85546875" style="1046" customWidth="1"/>
    <col min="5121" max="5121" width="54.85546875" style="1046" customWidth="1"/>
    <col min="5122" max="5122" width="0" style="1046" hidden="1" customWidth="1"/>
    <col min="5123" max="5123" width="12.7109375" style="1046" customWidth="1"/>
    <col min="5124" max="5124" width="13.85546875" style="1046" customWidth="1"/>
    <col min="5125" max="5125" width="19.42578125" style="1046" customWidth="1"/>
    <col min="5126" max="5126" width="9.28515625" style="1046" customWidth="1"/>
    <col min="5127" max="5127" width="11.85546875" style="1046" customWidth="1"/>
    <col min="5128" max="5128" width="16.42578125" style="1046" customWidth="1"/>
    <col min="5129" max="5129" width="0" style="1046" hidden="1" customWidth="1"/>
    <col min="5130" max="5130" width="16.5703125" style="1046" customWidth="1"/>
    <col min="5131" max="5132" width="0" style="1046" hidden="1" customWidth="1"/>
    <col min="5133" max="5134" width="16.5703125" style="1046" customWidth="1"/>
    <col min="5135" max="5135" width="5.140625" style="1046" customWidth="1"/>
    <col min="5136" max="5136" width="16.5703125" style="1046" customWidth="1"/>
    <col min="5137" max="5137" width="5.140625" style="1046" customWidth="1"/>
    <col min="5138" max="5138" width="16.5703125" style="1046" customWidth="1"/>
    <col min="5139" max="5139" width="5.140625" style="1046" customWidth="1"/>
    <col min="5140" max="5140" width="16.5703125" style="1046" customWidth="1"/>
    <col min="5141" max="5141" width="5.140625" style="1046" customWidth="1"/>
    <col min="5142" max="5142" width="15.28515625" style="1046" customWidth="1"/>
    <col min="5143" max="5143" width="4.7109375" style="1046" customWidth="1"/>
    <col min="5144" max="5144" width="0" style="1046" hidden="1" customWidth="1"/>
    <col min="5145" max="5145" width="6.5703125" style="1046" customWidth="1"/>
    <col min="5146" max="5146" width="10.5703125" style="1046" customWidth="1"/>
    <col min="5147" max="5147" width="17.42578125" style="1046" customWidth="1"/>
    <col min="5148" max="5148" width="7.7109375" style="1046" customWidth="1"/>
    <col min="5149" max="5149" width="15.42578125" style="1046" customWidth="1"/>
    <col min="5150" max="5150" width="16.42578125" style="1046" customWidth="1"/>
    <col min="5151" max="5151" width="17.28515625" style="1046" customWidth="1"/>
    <col min="5152" max="5152" width="0" style="1046" hidden="1" customWidth="1"/>
    <col min="5153" max="5153" width="19" style="1046" customWidth="1"/>
    <col min="5154" max="5156" width="26" style="1046" customWidth="1"/>
    <col min="5157" max="5157" width="35.42578125" style="1046" customWidth="1"/>
    <col min="5158" max="5158" width="27.5703125" style="1046" customWidth="1"/>
    <col min="5159" max="5159" width="9.140625" style="1046"/>
    <col min="5160" max="5160" width="26.7109375" style="1046" customWidth="1"/>
    <col min="5161" max="5161" width="17.28515625" style="1046" customWidth="1"/>
    <col min="5162" max="5327" width="9.140625" style="1046"/>
    <col min="5328" max="5329" width="3" style="1046" customWidth="1"/>
    <col min="5330" max="5330" width="4.42578125" style="1046" bestFit="1" customWidth="1"/>
    <col min="5331" max="5331" width="59.140625" style="1046" customWidth="1"/>
    <col min="5332" max="5332" width="0" style="1046" hidden="1" customWidth="1"/>
    <col min="5333" max="5333" width="12.7109375" style="1046" customWidth="1"/>
    <col min="5334" max="5334" width="8.28515625" style="1046" customWidth="1"/>
    <col min="5335" max="5335" width="14.42578125" style="1046" customWidth="1"/>
    <col min="5336" max="5336" width="7.28515625" style="1046" customWidth="1"/>
    <col min="5337" max="5337" width="9.5703125" style="1046" customWidth="1"/>
    <col min="5338" max="5338" width="17" style="1046" customWidth="1"/>
    <col min="5339" max="5339" width="0" style="1046" hidden="1" customWidth="1"/>
    <col min="5340" max="5340" width="15.140625" style="1046" customWidth="1"/>
    <col min="5341" max="5341" width="13.85546875" style="1046" customWidth="1"/>
    <col min="5342" max="5342" width="4.42578125" style="1046" customWidth="1"/>
    <col min="5343" max="5343" width="12.28515625" style="1046" customWidth="1"/>
    <col min="5344" max="5344" width="6" style="1046" customWidth="1"/>
    <col min="5345" max="5345" width="19.85546875" style="1046" customWidth="1"/>
    <col min="5346" max="5346" width="5.140625" style="1046" customWidth="1"/>
    <col min="5347" max="5347" width="17.28515625" style="1046" bestFit="1" customWidth="1"/>
    <col min="5348" max="5349" width="0" style="1046" hidden="1" customWidth="1"/>
    <col min="5350" max="5350" width="5.85546875" style="1046" customWidth="1"/>
    <col min="5351" max="5351" width="10.42578125" style="1046" customWidth="1"/>
    <col min="5352" max="5352" width="15.42578125" style="1046" customWidth="1"/>
    <col min="5353" max="5353" width="11.85546875" style="1046" customWidth="1"/>
    <col min="5354" max="5354" width="16.42578125" style="1046" customWidth="1"/>
    <col min="5355" max="5355" width="17.28515625" style="1046" customWidth="1"/>
    <col min="5356" max="5356" width="19" style="1046" bestFit="1" customWidth="1"/>
    <col min="5357" max="5357" width="20" style="1046" customWidth="1"/>
    <col min="5358" max="5358" width="18.7109375" style="1046" bestFit="1" customWidth="1"/>
    <col min="5359" max="5359" width="17.85546875" style="1046" bestFit="1" customWidth="1"/>
    <col min="5360" max="5360" width="16.42578125" style="1046" bestFit="1" customWidth="1"/>
    <col min="5361" max="5375" width="9.140625" style="1046"/>
    <col min="5376" max="5376" width="6.85546875" style="1046" customWidth="1"/>
    <col min="5377" max="5377" width="54.85546875" style="1046" customWidth="1"/>
    <col min="5378" max="5378" width="0" style="1046" hidden="1" customWidth="1"/>
    <col min="5379" max="5379" width="12.7109375" style="1046" customWidth="1"/>
    <col min="5380" max="5380" width="13.85546875" style="1046" customWidth="1"/>
    <col min="5381" max="5381" width="19.42578125" style="1046" customWidth="1"/>
    <col min="5382" max="5382" width="9.28515625" style="1046" customWidth="1"/>
    <col min="5383" max="5383" width="11.85546875" style="1046" customWidth="1"/>
    <col min="5384" max="5384" width="16.42578125" style="1046" customWidth="1"/>
    <col min="5385" max="5385" width="0" style="1046" hidden="1" customWidth="1"/>
    <col min="5386" max="5386" width="16.5703125" style="1046" customWidth="1"/>
    <col min="5387" max="5388" width="0" style="1046" hidden="1" customWidth="1"/>
    <col min="5389" max="5390" width="16.5703125" style="1046" customWidth="1"/>
    <col min="5391" max="5391" width="5.140625" style="1046" customWidth="1"/>
    <col min="5392" max="5392" width="16.5703125" style="1046" customWidth="1"/>
    <col min="5393" max="5393" width="5.140625" style="1046" customWidth="1"/>
    <col min="5394" max="5394" width="16.5703125" style="1046" customWidth="1"/>
    <col min="5395" max="5395" width="5.140625" style="1046" customWidth="1"/>
    <col min="5396" max="5396" width="16.5703125" style="1046" customWidth="1"/>
    <col min="5397" max="5397" width="5.140625" style="1046" customWidth="1"/>
    <col min="5398" max="5398" width="15.28515625" style="1046" customWidth="1"/>
    <col min="5399" max="5399" width="4.7109375" style="1046" customWidth="1"/>
    <col min="5400" max="5400" width="0" style="1046" hidden="1" customWidth="1"/>
    <col min="5401" max="5401" width="6.5703125" style="1046" customWidth="1"/>
    <col min="5402" max="5402" width="10.5703125" style="1046" customWidth="1"/>
    <col min="5403" max="5403" width="17.42578125" style="1046" customWidth="1"/>
    <col min="5404" max="5404" width="7.7109375" style="1046" customWidth="1"/>
    <col min="5405" max="5405" width="15.42578125" style="1046" customWidth="1"/>
    <col min="5406" max="5406" width="16.42578125" style="1046" customWidth="1"/>
    <col min="5407" max="5407" width="17.28515625" style="1046" customWidth="1"/>
    <col min="5408" max="5408" width="0" style="1046" hidden="1" customWidth="1"/>
    <col min="5409" max="5409" width="19" style="1046" customWidth="1"/>
    <col min="5410" max="5412" width="26" style="1046" customWidth="1"/>
    <col min="5413" max="5413" width="35.42578125" style="1046" customWidth="1"/>
    <col min="5414" max="5414" width="27.5703125" style="1046" customWidth="1"/>
    <col min="5415" max="5415" width="9.140625" style="1046"/>
    <col min="5416" max="5416" width="26.7109375" style="1046" customWidth="1"/>
    <col min="5417" max="5417" width="17.28515625" style="1046" customWidth="1"/>
    <col min="5418" max="5583" width="9.140625" style="1046"/>
    <col min="5584" max="5585" width="3" style="1046" customWidth="1"/>
    <col min="5586" max="5586" width="4.42578125" style="1046" bestFit="1" customWidth="1"/>
    <col min="5587" max="5587" width="59.140625" style="1046" customWidth="1"/>
    <col min="5588" max="5588" width="0" style="1046" hidden="1" customWidth="1"/>
    <col min="5589" max="5589" width="12.7109375" style="1046" customWidth="1"/>
    <col min="5590" max="5590" width="8.28515625" style="1046" customWidth="1"/>
    <col min="5591" max="5591" width="14.42578125" style="1046" customWidth="1"/>
    <col min="5592" max="5592" width="7.28515625" style="1046" customWidth="1"/>
    <col min="5593" max="5593" width="9.5703125" style="1046" customWidth="1"/>
    <col min="5594" max="5594" width="17" style="1046" customWidth="1"/>
    <col min="5595" max="5595" width="0" style="1046" hidden="1" customWidth="1"/>
    <col min="5596" max="5596" width="15.140625" style="1046" customWidth="1"/>
    <col min="5597" max="5597" width="13.85546875" style="1046" customWidth="1"/>
    <col min="5598" max="5598" width="4.42578125" style="1046" customWidth="1"/>
    <col min="5599" max="5599" width="12.28515625" style="1046" customWidth="1"/>
    <col min="5600" max="5600" width="6" style="1046" customWidth="1"/>
    <col min="5601" max="5601" width="19.85546875" style="1046" customWidth="1"/>
    <col min="5602" max="5602" width="5.140625" style="1046" customWidth="1"/>
    <col min="5603" max="5603" width="17.28515625" style="1046" bestFit="1" customWidth="1"/>
    <col min="5604" max="5605" width="0" style="1046" hidden="1" customWidth="1"/>
    <col min="5606" max="5606" width="5.85546875" style="1046" customWidth="1"/>
    <col min="5607" max="5607" width="10.42578125" style="1046" customWidth="1"/>
    <col min="5608" max="5608" width="15.42578125" style="1046" customWidth="1"/>
    <col min="5609" max="5609" width="11.85546875" style="1046" customWidth="1"/>
    <col min="5610" max="5610" width="16.42578125" style="1046" customWidth="1"/>
    <col min="5611" max="5611" width="17.28515625" style="1046" customWidth="1"/>
    <col min="5612" max="5612" width="19" style="1046" bestFit="1" customWidth="1"/>
    <col min="5613" max="5613" width="20" style="1046" customWidth="1"/>
    <col min="5614" max="5614" width="18.7109375" style="1046" bestFit="1" customWidth="1"/>
    <col min="5615" max="5615" width="17.85546875" style="1046" bestFit="1" customWidth="1"/>
    <col min="5616" max="5616" width="16.42578125" style="1046" bestFit="1" customWidth="1"/>
    <col min="5617" max="5631" width="9.140625" style="1046"/>
    <col min="5632" max="5632" width="6.85546875" style="1046" customWidth="1"/>
    <col min="5633" max="5633" width="54.85546875" style="1046" customWidth="1"/>
    <col min="5634" max="5634" width="0" style="1046" hidden="1" customWidth="1"/>
    <col min="5635" max="5635" width="12.7109375" style="1046" customWidth="1"/>
    <col min="5636" max="5636" width="13.85546875" style="1046" customWidth="1"/>
    <col min="5637" max="5637" width="19.42578125" style="1046" customWidth="1"/>
    <col min="5638" max="5638" width="9.28515625" style="1046" customWidth="1"/>
    <col min="5639" max="5639" width="11.85546875" style="1046" customWidth="1"/>
    <col min="5640" max="5640" width="16.42578125" style="1046" customWidth="1"/>
    <col min="5641" max="5641" width="0" style="1046" hidden="1" customWidth="1"/>
    <col min="5642" max="5642" width="16.5703125" style="1046" customWidth="1"/>
    <col min="5643" max="5644" width="0" style="1046" hidden="1" customWidth="1"/>
    <col min="5645" max="5646" width="16.5703125" style="1046" customWidth="1"/>
    <col min="5647" max="5647" width="5.140625" style="1046" customWidth="1"/>
    <col min="5648" max="5648" width="16.5703125" style="1046" customWidth="1"/>
    <col min="5649" max="5649" width="5.140625" style="1046" customWidth="1"/>
    <col min="5650" max="5650" width="16.5703125" style="1046" customWidth="1"/>
    <col min="5651" max="5651" width="5.140625" style="1046" customWidth="1"/>
    <col min="5652" max="5652" width="16.5703125" style="1046" customWidth="1"/>
    <col min="5653" max="5653" width="5.140625" style="1046" customWidth="1"/>
    <col min="5654" max="5654" width="15.28515625" style="1046" customWidth="1"/>
    <col min="5655" max="5655" width="4.7109375" style="1046" customWidth="1"/>
    <col min="5656" max="5656" width="0" style="1046" hidden="1" customWidth="1"/>
    <col min="5657" max="5657" width="6.5703125" style="1046" customWidth="1"/>
    <col min="5658" max="5658" width="10.5703125" style="1046" customWidth="1"/>
    <col min="5659" max="5659" width="17.42578125" style="1046" customWidth="1"/>
    <col min="5660" max="5660" width="7.7109375" style="1046" customWidth="1"/>
    <col min="5661" max="5661" width="15.42578125" style="1046" customWidth="1"/>
    <col min="5662" max="5662" width="16.42578125" style="1046" customWidth="1"/>
    <col min="5663" max="5663" width="17.28515625" style="1046" customWidth="1"/>
    <col min="5664" max="5664" width="0" style="1046" hidden="1" customWidth="1"/>
    <col min="5665" max="5665" width="19" style="1046" customWidth="1"/>
    <col min="5666" max="5668" width="26" style="1046" customWidth="1"/>
    <col min="5669" max="5669" width="35.42578125" style="1046" customWidth="1"/>
    <col min="5670" max="5670" width="27.5703125" style="1046" customWidth="1"/>
    <col min="5671" max="5671" width="9.140625" style="1046"/>
    <col min="5672" max="5672" width="26.7109375" style="1046" customWidth="1"/>
    <col min="5673" max="5673" width="17.28515625" style="1046" customWidth="1"/>
    <col min="5674" max="5839" width="9.140625" style="1046"/>
    <col min="5840" max="5841" width="3" style="1046" customWidth="1"/>
    <col min="5842" max="5842" width="4.42578125" style="1046" bestFit="1" customWidth="1"/>
    <col min="5843" max="5843" width="59.140625" style="1046" customWidth="1"/>
    <col min="5844" max="5844" width="0" style="1046" hidden="1" customWidth="1"/>
    <col min="5845" max="5845" width="12.7109375" style="1046" customWidth="1"/>
    <col min="5846" max="5846" width="8.28515625" style="1046" customWidth="1"/>
    <col min="5847" max="5847" width="14.42578125" style="1046" customWidth="1"/>
    <col min="5848" max="5848" width="7.28515625" style="1046" customWidth="1"/>
    <col min="5849" max="5849" width="9.5703125" style="1046" customWidth="1"/>
    <col min="5850" max="5850" width="17" style="1046" customWidth="1"/>
    <col min="5851" max="5851" width="0" style="1046" hidden="1" customWidth="1"/>
    <col min="5852" max="5852" width="15.140625" style="1046" customWidth="1"/>
    <col min="5853" max="5853" width="13.85546875" style="1046" customWidth="1"/>
    <col min="5854" max="5854" width="4.42578125" style="1046" customWidth="1"/>
    <col min="5855" max="5855" width="12.28515625" style="1046" customWidth="1"/>
    <col min="5856" max="5856" width="6" style="1046" customWidth="1"/>
    <col min="5857" max="5857" width="19.85546875" style="1046" customWidth="1"/>
    <col min="5858" max="5858" width="5.140625" style="1046" customWidth="1"/>
    <col min="5859" max="5859" width="17.28515625" style="1046" bestFit="1" customWidth="1"/>
    <col min="5860" max="5861" width="0" style="1046" hidden="1" customWidth="1"/>
    <col min="5862" max="5862" width="5.85546875" style="1046" customWidth="1"/>
    <col min="5863" max="5863" width="10.42578125" style="1046" customWidth="1"/>
    <col min="5864" max="5864" width="15.42578125" style="1046" customWidth="1"/>
    <col min="5865" max="5865" width="11.85546875" style="1046" customWidth="1"/>
    <col min="5866" max="5866" width="16.42578125" style="1046" customWidth="1"/>
    <col min="5867" max="5867" width="17.28515625" style="1046" customWidth="1"/>
    <col min="5868" max="5868" width="19" style="1046" bestFit="1" customWidth="1"/>
    <col min="5869" max="5869" width="20" style="1046" customWidth="1"/>
    <col min="5870" max="5870" width="18.7109375" style="1046" bestFit="1" customWidth="1"/>
    <col min="5871" max="5871" width="17.85546875" style="1046" bestFit="1" customWidth="1"/>
    <col min="5872" max="5872" width="16.42578125" style="1046" bestFit="1" customWidth="1"/>
    <col min="5873" max="5887" width="9.140625" style="1046"/>
    <col min="5888" max="5888" width="6.85546875" style="1046" customWidth="1"/>
    <col min="5889" max="5889" width="54.85546875" style="1046" customWidth="1"/>
    <col min="5890" max="5890" width="0" style="1046" hidden="1" customWidth="1"/>
    <col min="5891" max="5891" width="12.7109375" style="1046" customWidth="1"/>
    <col min="5892" max="5892" width="13.85546875" style="1046" customWidth="1"/>
    <col min="5893" max="5893" width="19.42578125" style="1046" customWidth="1"/>
    <col min="5894" max="5894" width="9.28515625" style="1046" customWidth="1"/>
    <col min="5895" max="5895" width="11.85546875" style="1046" customWidth="1"/>
    <col min="5896" max="5896" width="16.42578125" style="1046" customWidth="1"/>
    <col min="5897" max="5897" width="0" style="1046" hidden="1" customWidth="1"/>
    <col min="5898" max="5898" width="16.5703125" style="1046" customWidth="1"/>
    <col min="5899" max="5900" width="0" style="1046" hidden="1" customWidth="1"/>
    <col min="5901" max="5902" width="16.5703125" style="1046" customWidth="1"/>
    <col min="5903" max="5903" width="5.140625" style="1046" customWidth="1"/>
    <col min="5904" max="5904" width="16.5703125" style="1046" customWidth="1"/>
    <col min="5905" max="5905" width="5.140625" style="1046" customWidth="1"/>
    <col min="5906" max="5906" width="16.5703125" style="1046" customWidth="1"/>
    <col min="5907" max="5907" width="5.140625" style="1046" customWidth="1"/>
    <col min="5908" max="5908" width="16.5703125" style="1046" customWidth="1"/>
    <col min="5909" max="5909" width="5.140625" style="1046" customWidth="1"/>
    <col min="5910" max="5910" width="15.28515625" style="1046" customWidth="1"/>
    <col min="5911" max="5911" width="4.7109375" style="1046" customWidth="1"/>
    <col min="5912" max="5912" width="0" style="1046" hidden="1" customWidth="1"/>
    <col min="5913" max="5913" width="6.5703125" style="1046" customWidth="1"/>
    <col min="5914" max="5914" width="10.5703125" style="1046" customWidth="1"/>
    <col min="5915" max="5915" width="17.42578125" style="1046" customWidth="1"/>
    <col min="5916" max="5916" width="7.7109375" style="1046" customWidth="1"/>
    <col min="5917" max="5917" width="15.42578125" style="1046" customWidth="1"/>
    <col min="5918" max="5918" width="16.42578125" style="1046" customWidth="1"/>
    <col min="5919" max="5919" width="17.28515625" style="1046" customWidth="1"/>
    <col min="5920" max="5920" width="0" style="1046" hidden="1" customWidth="1"/>
    <col min="5921" max="5921" width="19" style="1046" customWidth="1"/>
    <col min="5922" max="5924" width="26" style="1046" customWidth="1"/>
    <col min="5925" max="5925" width="35.42578125" style="1046" customWidth="1"/>
    <col min="5926" max="5926" width="27.5703125" style="1046" customWidth="1"/>
    <col min="5927" max="5927" width="9.140625" style="1046"/>
    <col min="5928" max="5928" width="26.7109375" style="1046" customWidth="1"/>
    <col min="5929" max="5929" width="17.28515625" style="1046" customWidth="1"/>
    <col min="5930" max="6095" width="9.140625" style="1046"/>
    <col min="6096" max="6097" width="3" style="1046" customWidth="1"/>
    <col min="6098" max="6098" width="4.42578125" style="1046" bestFit="1" customWidth="1"/>
    <col min="6099" max="6099" width="59.140625" style="1046" customWidth="1"/>
    <col min="6100" max="6100" width="0" style="1046" hidden="1" customWidth="1"/>
    <col min="6101" max="6101" width="12.7109375" style="1046" customWidth="1"/>
    <col min="6102" max="6102" width="8.28515625" style="1046" customWidth="1"/>
    <col min="6103" max="6103" width="14.42578125" style="1046" customWidth="1"/>
    <col min="6104" max="6104" width="7.28515625" style="1046" customWidth="1"/>
    <col min="6105" max="6105" width="9.5703125" style="1046" customWidth="1"/>
    <col min="6106" max="6106" width="17" style="1046" customWidth="1"/>
    <col min="6107" max="6107" width="0" style="1046" hidden="1" customWidth="1"/>
    <col min="6108" max="6108" width="15.140625" style="1046" customWidth="1"/>
    <col min="6109" max="6109" width="13.85546875" style="1046" customWidth="1"/>
    <col min="6110" max="6110" width="4.42578125" style="1046" customWidth="1"/>
    <col min="6111" max="6111" width="12.28515625" style="1046" customWidth="1"/>
    <col min="6112" max="6112" width="6" style="1046" customWidth="1"/>
    <col min="6113" max="6113" width="19.85546875" style="1046" customWidth="1"/>
    <col min="6114" max="6114" width="5.140625" style="1046" customWidth="1"/>
    <col min="6115" max="6115" width="17.28515625" style="1046" bestFit="1" customWidth="1"/>
    <col min="6116" max="6117" width="0" style="1046" hidden="1" customWidth="1"/>
    <col min="6118" max="6118" width="5.85546875" style="1046" customWidth="1"/>
    <col min="6119" max="6119" width="10.42578125" style="1046" customWidth="1"/>
    <col min="6120" max="6120" width="15.42578125" style="1046" customWidth="1"/>
    <col min="6121" max="6121" width="11.85546875" style="1046" customWidth="1"/>
    <col min="6122" max="6122" width="16.42578125" style="1046" customWidth="1"/>
    <col min="6123" max="6123" width="17.28515625" style="1046" customWidth="1"/>
    <col min="6124" max="6124" width="19" style="1046" bestFit="1" customWidth="1"/>
    <col min="6125" max="6125" width="20" style="1046" customWidth="1"/>
    <col min="6126" max="6126" width="18.7109375" style="1046" bestFit="1" customWidth="1"/>
    <col min="6127" max="6127" width="17.85546875" style="1046" bestFit="1" customWidth="1"/>
    <col min="6128" max="6128" width="16.42578125" style="1046" bestFit="1" customWidth="1"/>
    <col min="6129" max="6143" width="9.140625" style="1046"/>
    <col min="6144" max="6144" width="6.85546875" style="1046" customWidth="1"/>
    <col min="6145" max="6145" width="54.85546875" style="1046" customWidth="1"/>
    <col min="6146" max="6146" width="0" style="1046" hidden="1" customWidth="1"/>
    <col min="6147" max="6147" width="12.7109375" style="1046" customWidth="1"/>
    <col min="6148" max="6148" width="13.85546875" style="1046" customWidth="1"/>
    <col min="6149" max="6149" width="19.42578125" style="1046" customWidth="1"/>
    <col min="6150" max="6150" width="9.28515625" style="1046" customWidth="1"/>
    <col min="6151" max="6151" width="11.85546875" style="1046" customWidth="1"/>
    <col min="6152" max="6152" width="16.42578125" style="1046" customWidth="1"/>
    <col min="6153" max="6153" width="0" style="1046" hidden="1" customWidth="1"/>
    <col min="6154" max="6154" width="16.5703125" style="1046" customWidth="1"/>
    <col min="6155" max="6156" width="0" style="1046" hidden="1" customWidth="1"/>
    <col min="6157" max="6158" width="16.5703125" style="1046" customWidth="1"/>
    <col min="6159" max="6159" width="5.140625" style="1046" customWidth="1"/>
    <col min="6160" max="6160" width="16.5703125" style="1046" customWidth="1"/>
    <col min="6161" max="6161" width="5.140625" style="1046" customWidth="1"/>
    <col min="6162" max="6162" width="16.5703125" style="1046" customWidth="1"/>
    <col min="6163" max="6163" width="5.140625" style="1046" customWidth="1"/>
    <col min="6164" max="6164" width="16.5703125" style="1046" customWidth="1"/>
    <col min="6165" max="6165" width="5.140625" style="1046" customWidth="1"/>
    <col min="6166" max="6166" width="15.28515625" style="1046" customWidth="1"/>
    <col min="6167" max="6167" width="4.7109375" style="1046" customWidth="1"/>
    <col min="6168" max="6168" width="0" style="1046" hidden="1" customWidth="1"/>
    <col min="6169" max="6169" width="6.5703125" style="1046" customWidth="1"/>
    <col min="6170" max="6170" width="10.5703125" style="1046" customWidth="1"/>
    <col min="6171" max="6171" width="17.42578125" style="1046" customWidth="1"/>
    <col min="6172" max="6172" width="7.7109375" style="1046" customWidth="1"/>
    <col min="6173" max="6173" width="15.42578125" style="1046" customWidth="1"/>
    <col min="6174" max="6174" width="16.42578125" style="1046" customWidth="1"/>
    <col min="6175" max="6175" width="17.28515625" style="1046" customWidth="1"/>
    <col min="6176" max="6176" width="0" style="1046" hidden="1" customWidth="1"/>
    <col min="6177" max="6177" width="19" style="1046" customWidth="1"/>
    <col min="6178" max="6180" width="26" style="1046" customWidth="1"/>
    <col min="6181" max="6181" width="35.42578125" style="1046" customWidth="1"/>
    <col min="6182" max="6182" width="27.5703125" style="1046" customWidth="1"/>
    <col min="6183" max="6183" width="9.140625" style="1046"/>
    <col min="6184" max="6184" width="26.7109375" style="1046" customWidth="1"/>
    <col min="6185" max="6185" width="17.28515625" style="1046" customWidth="1"/>
    <col min="6186" max="6351" width="9.140625" style="1046"/>
    <col min="6352" max="6353" width="3" style="1046" customWidth="1"/>
    <col min="6354" max="6354" width="4.42578125" style="1046" bestFit="1" customWidth="1"/>
    <col min="6355" max="6355" width="59.140625" style="1046" customWidth="1"/>
    <col min="6356" max="6356" width="0" style="1046" hidden="1" customWidth="1"/>
    <col min="6357" max="6357" width="12.7109375" style="1046" customWidth="1"/>
    <col min="6358" max="6358" width="8.28515625" style="1046" customWidth="1"/>
    <col min="6359" max="6359" width="14.42578125" style="1046" customWidth="1"/>
    <col min="6360" max="6360" width="7.28515625" style="1046" customWidth="1"/>
    <col min="6361" max="6361" width="9.5703125" style="1046" customWidth="1"/>
    <col min="6362" max="6362" width="17" style="1046" customWidth="1"/>
    <col min="6363" max="6363" width="0" style="1046" hidden="1" customWidth="1"/>
    <col min="6364" max="6364" width="15.140625" style="1046" customWidth="1"/>
    <col min="6365" max="6365" width="13.85546875" style="1046" customWidth="1"/>
    <col min="6366" max="6366" width="4.42578125" style="1046" customWidth="1"/>
    <col min="6367" max="6367" width="12.28515625" style="1046" customWidth="1"/>
    <col min="6368" max="6368" width="6" style="1046" customWidth="1"/>
    <col min="6369" max="6369" width="19.85546875" style="1046" customWidth="1"/>
    <col min="6370" max="6370" width="5.140625" style="1046" customWidth="1"/>
    <col min="6371" max="6371" width="17.28515625" style="1046" bestFit="1" customWidth="1"/>
    <col min="6372" max="6373" width="0" style="1046" hidden="1" customWidth="1"/>
    <col min="6374" max="6374" width="5.85546875" style="1046" customWidth="1"/>
    <col min="6375" max="6375" width="10.42578125" style="1046" customWidth="1"/>
    <col min="6376" max="6376" width="15.42578125" style="1046" customWidth="1"/>
    <col min="6377" max="6377" width="11.85546875" style="1046" customWidth="1"/>
    <col min="6378" max="6378" width="16.42578125" style="1046" customWidth="1"/>
    <col min="6379" max="6379" width="17.28515625" style="1046" customWidth="1"/>
    <col min="6380" max="6380" width="19" style="1046" bestFit="1" customWidth="1"/>
    <col min="6381" max="6381" width="20" style="1046" customWidth="1"/>
    <col min="6382" max="6382" width="18.7109375" style="1046" bestFit="1" customWidth="1"/>
    <col min="6383" max="6383" width="17.85546875" style="1046" bestFit="1" customWidth="1"/>
    <col min="6384" max="6384" width="16.42578125" style="1046" bestFit="1" customWidth="1"/>
    <col min="6385" max="6399" width="9.140625" style="1046"/>
    <col min="6400" max="6400" width="6.85546875" style="1046" customWidth="1"/>
    <col min="6401" max="6401" width="54.85546875" style="1046" customWidth="1"/>
    <col min="6402" max="6402" width="0" style="1046" hidden="1" customWidth="1"/>
    <col min="6403" max="6403" width="12.7109375" style="1046" customWidth="1"/>
    <col min="6404" max="6404" width="13.85546875" style="1046" customWidth="1"/>
    <col min="6405" max="6405" width="19.42578125" style="1046" customWidth="1"/>
    <col min="6406" max="6406" width="9.28515625" style="1046" customWidth="1"/>
    <col min="6407" max="6407" width="11.85546875" style="1046" customWidth="1"/>
    <col min="6408" max="6408" width="16.42578125" style="1046" customWidth="1"/>
    <col min="6409" max="6409" width="0" style="1046" hidden="1" customWidth="1"/>
    <col min="6410" max="6410" width="16.5703125" style="1046" customWidth="1"/>
    <col min="6411" max="6412" width="0" style="1046" hidden="1" customWidth="1"/>
    <col min="6413" max="6414" width="16.5703125" style="1046" customWidth="1"/>
    <col min="6415" max="6415" width="5.140625" style="1046" customWidth="1"/>
    <col min="6416" max="6416" width="16.5703125" style="1046" customWidth="1"/>
    <col min="6417" max="6417" width="5.140625" style="1046" customWidth="1"/>
    <col min="6418" max="6418" width="16.5703125" style="1046" customWidth="1"/>
    <col min="6419" max="6419" width="5.140625" style="1046" customWidth="1"/>
    <col min="6420" max="6420" width="16.5703125" style="1046" customWidth="1"/>
    <col min="6421" max="6421" width="5.140625" style="1046" customWidth="1"/>
    <col min="6422" max="6422" width="15.28515625" style="1046" customWidth="1"/>
    <col min="6423" max="6423" width="4.7109375" style="1046" customWidth="1"/>
    <col min="6424" max="6424" width="0" style="1046" hidden="1" customWidth="1"/>
    <col min="6425" max="6425" width="6.5703125" style="1046" customWidth="1"/>
    <col min="6426" max="6426" width="10.5703125" style="1046" customWidth="1"/>
    <col min="6427" max="6427" width="17.42578125" style="1046" customWidth="1"/>
    <col min="6428" max="6428" width="7.7109375" style="1046" customWidth="1"/>
    <col min="6429" max="6429" width="15.42578125" style="1046" customWidth="1"/>
    <col min="6430" max="6430" width="16.42578125" style="1046" customWidth="1"/>
    <col min="6431" max="6431" width="17.28515625" style="1046" customWidth="1"/>
    <col min="6432" max="6432" width="0" style="1046" hidden="1" customWidth="1"/>
    <col min="6433" max="6433" width="19" style="1046" customWidth="1"/>
    <col min="6434" max="6436" width="26" style="1046" customWidth="1"/>
    <col min="6437" max="6437" width="35.42578125" style="1046" customWidth="1"/>
    <col min="6438" max="6438" width="27.5703125" style="1046" customWidth="1"/>
    <col min="6439" max="6439" width="9.140625" style="1046"/>
    <col min="6440" max="6440" width="26.7109375" style="1046" customWidth="1"/>
    <col min="6441" max="6441" width="17.28515625" style="1046" customWidth="1"/>
    <col min="6442" max="6607" width="9.140625" style="1046"/>
    <col min="6608" max="6609" width="3" style="1046" customWidth="1"/>
    <col min="6610" max="6610" width="4.42578125" style="1046" bestFit="1" customWidth="1"/>
    <col min="6611" max="6611" width="59.140625" style="1046" customWidth="1"/>
    <col min="6612" max="6612" width="0" style="1046" hidden="1" customWidth="1"/>
    <col min="6613" max="6613" width="12.7109375" style="1046" customWidth="1"/>
    <col min="6614" max="6614" width="8.28515625" style="1046" customWidth="1"/>
    <col min="6615" max="6615" width="14.42578125" style="1046" customWidth="1"/>
    <col min="6616" max="6616" width="7.28515625" style="1046" customWidth="1"/>
    <col min="6617" max="6617" width="9.5703125" style="1046" customWidth="1"/>
    <col min="6618" max="6618" width="17" style="1046" customWidth="1"/>
    <col min="6619" max="6619" width="0" style="1046" hidden="1" customWidth="1"/>
    <col min="6620" max="6620" width="15.140625" style="1046" customWidth="1"/>
    <col min="6621" max="6621" width="13.85546875" style="1046" customWidth="1"/>
    <col min="6622" max="6622" width="4.42578125" style="1046" customWidth="1"/>
    <col min="6623" max="6623" width="12.28515625" style="1046" customWidth="1"/>
    <col min="6624" max="6624" width="6" style="1046" customWidth="1"/>
    <col min="6625" max="6625" width="19.85546875" style="1046" customWidth="1"/>
    <col min="6626" max="6626" width="5.140625" style="1046" customWidth="1"/>
    <col min="6627" max="6627" width="17.28515625" style="1046" bestFit="1" customWidth="1"/>
    <col min="6628" max="6629" width="0" style="1046" hidden="1" customWidth="1"/>
    <col min="6630" max="6630" width="5.85546875" style="1046" customWidth="1"/>
    <col min="6631" max="6631" width="10.42578125" style="1046" customWidth="1"/>
    <col min="6632" max="6632" width="15.42578125" style="1046" customWidth="1"/>
    <col min="6633" max="6633" width="11.85546875" style="1046" customWidth="1"/>
    <col min="6634" max="6634" width="16.42578125" style="1046" customWidth="1"/>
    <col min="6635" max="6635" width="17.28515625" style="1046" customWidth="1"/>
    <col min="6636" max="6636" width="19" style="1046" bestFit="1" customWidth="1"/>
    <col min="6637" max="6637" width="20" style="1046" customWidth="1"/>
    <col min="6638" max="6638" width="18.7109375" style="1046" bestFit="1" customWidth="1"/>
    <col min="6639" max="6639" width="17.85546875" style="1046" bestFit="1" customWidth="1"/>
    <col min="6640" max="6640" width="16.42578125" style="1046" bestFit="1" customWidth="1"/>
    <col min="6641" max="6655" width="9.140625" style="1046"/>
    <col min="6656" max="6656" width="6.85546875" style="1046" customWidth="1"/>
    <col min="6657" max="6657" width="54.85546875" style="1046" customWidth="1"/>
    <col min="6658" max="6658" width="0" style="1046" hidden="1" customWidth="1"/>
    <col min="6659" max="6659" width="12.7109375" style="1046" customWidth="1"/>
    <col min="6660" max="6660" width="13.85546875" style="1046" customWidth="1"/>
    <col min="6661" max="6661" width="19.42578125" style="1046" customWidth="1"/>
    <col min="6662" max="6662" width="9.28515625" style="1046" customWidth="1"/>
    <col min="6663" max="6663" width="11.85546875" style="1046" customWidth="1"/>
    <col min="6664" max="6664" width="16.42578125" style="1046" customWidth="1"/>
    <col min="6665" max="6665" width="0" style="1046" hidden="1" customWidth="1"/>
    <col min="6666" max="6666" width="16.5703125" style="1046" customWidth="1"/>
    <col min="6667" max="6668" width="0" style="1046" hidden="1" customWidth="1"/>
    <col min="6669" max="6670" width="16.5703125" style="1046" customWidth="1"/>
    <col min="6671" max="6671" width="5.140625" style="1046" customWidth="1"/>
    <col min="6672" max="6672" width="16.5703125" style="1046" customWidth="1"/>
    <col min="6673" max="6673" width="5.140625" style="1046" customWidth="1"/>
    <col min="6674" max="6674" width="16.5703125" style="1046" customWidth="1"/>
    <col min="6675" max="6675" width="5.140625" style="1046" customWidth="1"/>
    <col min="6676" max="6676" width="16.5703125" style="1046" customWidth="1"/>
    <col min="6677" max="6677" width="5.140625" style="1046" customWidth="1"/>
    <col min="6678" max="6678" width="15.28515625" style="1046" customWidth="1"/>
    <col min="6679" max="6679" width="4.7109375" style="1046" customWidth="1"/>
    <col min="6680" max="6680" width="0" style="1046" hidden="1" customWidth="1"/>
    <col min="6681" max="6681" width="6.5703125" style="1046" customWidth="1"/>
    <col min="6682" max="6682" width="10.5703125" style="1046" customWidth="1"/>
    <col min="6683" max="6683" width="17.42578125" style="1046" customWidth="1"/>
    <col min="6684" max="6684" width="7.7109375" style="1046" customWidth="1"/>
    <col min="6685" max="6685" width="15.42578125" style="1046" customWidth="1"/>
    <col min="6686" max="6686" width="16.42578125" style="1046" customWidth="1"/>
    <col min="6687" max="6687" width="17.28515625" style="1046" customWidth="1"/>
    <col min="6688" max="6688" width="0" style="1046" hidden="1" customWidth="1"/>
    <col min="6689" max="6689" width="19" style="1046" customWidth="1"/>
    <col min="6690" max="6692" width="26" style="1046" customWidth="1"/>
    <col min="6693" max="6693" width="35.42578125" style="1046" customWidth="1"/>
    <col min="6694" max="6694" width="27.5703125" style="1046" customWidth="1"/>
    <col min="6695" max="6695" width="9.140625" style="1046"/>
    <col min="6696" max="6696" width="26.7109375" style="1046" customWidth="1"/>
    <col min="6697" max="6697" width="17.28515625" style="1046" customWidth="1"/>
    <col min="6698" max="6863" width="9.140625" style="1046"/>
    <col min="6864" max="6865" width="3" style="1046" customWidth="1"/>
    <col min="6866" max="6866" width="4.42578125" style="1046" bestFit="1" customWidth="1"/>
    <col min="6867" max="6867" width="59.140625" style="1046" customWidth="1"/>
    <col min="6868" max="6868" width="0" style="1046" hidden="1" customWidth="1"/>
    <col min="6869" max="6869" width="12.7109375" style="1046" customWidth="1"/>
    <col min="6870" max="6870" width="8.28515625" style="1046" customWidth="1"/>
    <col min="6871" max="6871" width="14.42578125" style="1046" customWidth="1"/>
    <col min="6872" max="6872" width="7.28515625" style="1046" customWidth="1"/>
    <col min="6873" max="6873" width="9.5703125" style="1046" customWidth="1"/>
    <col min="6874" max="6874" width="17" style="1046" customWidth="1"/>
    <col min="6875" max="6875" width="0" style="1046" hidden="1" customWidth="1"/>
    <col min="6876" max="6876" width="15.140625" style="1046" customWidth="1"/>
    <col min="6877" max="6877" width="13.85546875" style="1046" customWidth="1"/>
    <col min="6878" max="6878" width="4.42578125" style="1046" customWidth="1"/>
    <col min="6879" max="6879" width="12.28515625" style="1046" customWidth="1"/>
    <col min="6880" max="6880" width="6" style="1046" customWidth="1"/>
    <col min="6881" max="6881" width="19.85546875" style="1046" customWidth="1"/>
    <col min="6882" max="6882" width="5.140625" style="1046" customWidth="1"/>
    <col min="6883" max="6883" width="17.28515625" style="1046" bestFit="1" customWidth="1"/>
    <col min="6884" max="6885" width="0" style="1046" hidden="1" customWidth="1"/>
    <col min="6886" max="6886" width="5.85546875" style="1046" customWidth="1"/>
    <col min="6887" max="6887" width="10.42578125" style="1046" customWidth="1"/>
    <col min="6888" max="6888" width="15.42578125" style="1046" customWidth="1"/>
    <col min="6889" max="6889" width="11.85546875" style="1046" customWidth="1"/>
    <col min="6890" max="6890" width="16.42578125" style="1046" customWidth="1"/>
    <col min="6891" max="6891" width="17.28515625" style="1046" customWidth="1"/>
    <col min="6892" max="6892" width="19" style="1046" bestFit="1" customWidth="1"/>
    <col min="6893" max="6893" width="20" style="1046" customWidth="1"/>
    <col min="6894" max="6894" width="18.7109375" style="1046" bestFit="1" customWidth="1"/>
    <col min="6895" max="6895" width="17.85546875" style="1046" bestFit="1" customWidth="1"/>
    <col min="6896" max="6896" width="16.42578125" style="1046" bestFit="1" customWidth="1"/>
    <col min="6897" max="6911" width="9.140625" style="1046"/>
    <col min="6912" max="6912" width="6.85546875" style="1046" customWidth="1"/>
    <col min="6913" max="6913" width="54.85546875" style="1046" customWidth="1"/>
    <col min="6914" max="6914" width="0" style="1046" hidden="1" customWidth="1"/>
    <col min="6915" max="6915" width="12.7109375" style="1046" customWidth="1"/>
    <col min="6916" max="6916" width="13.85546875" style="1046" customWidth="1"/>
    <col min="6917" max="6917" width="19.42578125" style="1046" customWidth="1"/>
    <col min="6918" max="6918" width="9.28515625" style="1046" customWidth="1"/>
    <col min="6919" max="6919" width="11.85546875" style="1046" customWidth="1"/>
    <col min="6920" max="6920" width="16.42578125" style="1046" customWidth="1"/>
    <col min="6921" max="6921" width="0" style="1046" hidden="1" customWidth="1"/>
    <col min="6922" max="6922" width="16.5703125" style="1046" customWidth="1"/>
    <col min="6923" max="6924" width="0" style="1046" hidden="1" customWidth="1"/>
    <col min="6925" max="6926" width="16.5703125" style="1046" customWidth="1"/>
    <col min="6927" max="6927" width="5.140625" style="1046" customWidth="1"/>
    <col min="6928" max="6928" width="16.5703125" style="1046" customWidth="1"/>
    <col min="6929" max="6929" width="5.140625" style="1046" customWidth="1"/>
    <col min="6930" max="6930" width="16.5703125" style="1046" customWidth="1"/>
    <col min="6931" max="6931" width="5.140625" style="1046" customWidth="1"/>
    <col min="6932" max="6932" width="16.5703125" style="1046" customWidth="1"/>
    <col min="6933" max="6933" width="5.140625" style="1046" customWidth="1"/>
    <col min="6934" max="6934" width="15.28515625" style="1046" customWidth="1"/>
    <col min="6935" max="6935" width="4.7109375" style="1046" customWidth="1"/>
    <col min="6936" max="6936" width="0" style="1046" hidden="1" customWidth="1"/>
    <col min="6937" max="6937" width="6.5703125" style="1046" customWidth="1"/>
    <col min="6938" max="6938" width="10.5703125" style="1046" customWidth="1"/>
    <col min="6939" max="6939" width="17.42578125" style="1046" customWidth="1"/>
    <col min="6940" max="6940" width="7.7109375" style="1046" customWidth="1"/>
    <col min="6941" max="6941" width="15.42578125" style="1046" customWidth="1"/>
    <col min="6942" max="6942" width="16.42578125" style="1046" customWidth="1"/>
    <col min="6943" max="6943" width="17.28515625" style="1046" customWidth="1"/>
    <col min="6944" max="6944" width="0" style="1046" hidden="1" customWidth="1"/>
    <col min="6945" max="6945" width="19" style="1046" customWidth="1"/>
    <col min="6946" max="6948" width="26" style="1046" customWidth="1"/>
    <col min="6949" max="6949" width="35.42578125" style="1046" customWidth="1"/>
    <col min="6950" max="6950" width="27.5703125" style="1046" customWidth="1"/>
    <col min="6951" max="6951" width="9.140625" style="1046"/>
    <col min="6952" max="6952" width="26.7109375" style="1046" customWidth="1"/>
    <col min="6953" max="6953" width="17.28515625" style="1046" customWidth="1"/>
    <col min="6954" max="7119" width="9.140625" style="1046"/>
    <col min="7120" max="7121" width="3" style="1046" customWidth="1"/>
    <col min="7122" max="7122" width="4.42578125" style="1046" bestFit="1" customWidth="1"/>
    <col min="7123" max="7123" width="59.140625" style="1046" customWidth="1"/>
    <col min="7124" max="7124" width="0" style="1046" hidden="1" customWidth="1"/>
    <col min="7125" max="7125" width="12.7109375" style="1046" customWidth="1"/>
    <col min="7126" max="7126" width="8.28515625" style="1046" customWidth="1"/>
    <col min="7127" max="7127" width="14.42578125" style="1046" customWidth="1"/>
    <col min="7128" max="7128" width="7.28515625" style="1046" customWidth="1"/>
    <col min="7129" max="7129" width="9.5703125" style="1046" customWidth="1"/>
    <col min="7130" max="7130" width="17" style="1046" customWidth="1"/>
    <col min="7131" max="7131" width="0" style="1046" hidden="1" customWidth="1"/>
    <col min="7132" max="7132" width="15.140625" style="1046" customWidth="1"/>
    <col min="7133" max="7133" width="13.85546875" style="1046" customWidth="1"/>
    <col min="7134" max="7134" width="4.42578125" style="1046" customWidth="1"/>
    <col min="7135" max="7135" width="12.28515625" style="1046" customWidth="1"/>
    <col min="7136" max="7136" width="6" style="1046" customWidth="1"/>
    <col min="7137" max="7137" width="19.85546875" style="1046" customWidth="1"/>
    <col min="7138" max="7138" width="5.140625" style="1046" customWidth="1"/>
    <col min="7139" max="7139" width="17.28515625" style="1046" bestFit="1" customWidth="1"/>
    <col min="7140" max="7141" width="0" style="1046" hidden="1" customWidth="1"/>
    <col min="7142" max="7142" width="5.85546875" style="1046" customWidth="1"/>
    <col min="7143" max="7143" width="10.42578125" style="1046" customWidth="1"/>
    <col min="7144" max="7144" width="15.42578125" style="1046" customWidth="1"/>
    <col min="7145" max="7145" width="11.85546875" style="1046" customWidth="1"/>
    <col min="7146" max="7146" width="16.42578125" style="1046" customWidth="1"/>
    <col min="7147" max="7147" width="17.28515625" style="1046" customWidth="1"/>
    <col min="7148" max="7148" width="19" style="1046" bestFit="1" customWidth="1"/>
    <col min="7149" max="7149" width="20" style="1046" customWidth="1"/>
    <col min="7150" max="7150" width="18.7109375" style="1046" bestFit="1" customWidth="1"/>
    <col min="7151" max="7151" width="17.85546875" style="1046" bestFit="1" customWidth="1"/>
    <col min="7152" max="7152" width="16.42578125" style="1046" bestFit="1" customWidth="1"/>
    <col min="7153" max="7167" width="9.140625" style="1046"/>
    <col min="7168" max="7168" width="6.85546875" style="1046" customWidth="1"/>
    <col min="7169" max="7169" width="54.85546875" style="1046" customWidth="1"/>
    <col min="7170" max="7170" width="0" style="1046" hidden="1" customWidth="1"/>
    <col min="7171" max="7171" width="12.7109375" style="1046" customWidth="1"/>
    <col min="7172" max="7172" width="13.85546875" style="1046" customWidth="1"/>
    <col min="7173" max="7173" width="19.42578125" style="1046" customWidth="1"/>
    <col min="7174" max="7174" width="9.28515625" style="1046" customWidth="1"/>
    <col min="7175" max="7175" width="11.85546875" style="1046" customWidth="1"/>
    <col min="7176" max="7176" width="16.42578125" style="1046" customWidth="1"/>
    <col min="7177" max="7177" width="0" style="1046" hidden="1" customWidth="1"/>
    <col min="7178" max="7178" width="16.5703125" style="1046" customWidth="1"/>
    <col min="7179" max="7180" width="0" style="1046" hidden="1" customWidth="1"/>
    <col min="7181" max="7182" width="16.5703125" style="1046" customWidth="1"/>
    <col min="7183" max="7183" width="5.140625" style="1046" customWidth="1"/>
    <col min="7184" max="7184" width="16.5703125" style="1046" customWidth="1"/>
    <col min="7185" max="7185" width="5.140625" style="1046" customWidth="1"/>
    <col min="7186" max="7186" width="16.5703125" style="1046" customWidth="1"/>
    <col min="7187" max="7187" width="5.140625" style="1046" customWidth="1"/>
    <col min="7188" max="7188" width="16.5703125" style="1046" customWidth="1"/>
    <col min="7189" max="7189" width="5.140625" style="1046" customWidth="1"/>
    <col min="7190" max="7190" width="15.28515625" style="1046" customWidth="1"/>
    <col min="7191" max="7191" width="4.7109375" style="1046" customWidth="1"/>
    <col min="7192" max="7192" width="0" style="1046" hidden="1" customWidth="1"/>
    <col min="7193" max="7193" width="6.5703125" style="1046" customWidth="1"/>
    <col min="7194" max="7194" width="10.5703125" style="1046" customWidth="1"/>
    <col min="7195" max="7195" width="17.42578125" style="1046" customWidth="1"/>
    <col min="7196" max="7196" width="7.7109375" style="1046" customWidth="1"/>
    <col min="7197" max="7197" width="15.42578125" style="1046" customWidth="1"/>
    <col min="7198" max="7198" width="16.42578125" style="1046" customWidth="1"/>
    <col min="7199" max="7199" width="17.28515625" style="1046" customWidth="1"/>
    <col min="7200" max="7200" width="0" style="1046" hidden="1" customWidth="1"/>
    <col min="7201" max="7201" width="19" style="1046" customWidth="1"/>
    <col min="7202" max="7204" width="26" style="1046" customWidth="1"/>
    <col min="7205" max="7205" width="35.42578125" style="1046" customWidth="1"/>
    <col min="7206" max="7206" width="27.5703125" style="1046" customWidth="1"/>
    <col min="7207" max="7207" width="9.140625" style="1046"/>
    <col min="7208" max="7208" width="26.7109375" style="1046" customWidth="1"/>
    <col min="7209" max="7209" width="17.28515625" style="1046" customWidth="1"/>
    <col min="7210" max="7375" width="9.140625" style="1046"/>
    <col min="7376" max="7377" width="3" style="1046" customWidth="1"/>
    <col min="7378" max="7378" width="4.42578125" style="1046" bestFit="1" customWidth="1"/>
    <col min="7379" max="7379" width="59.140625" style="1046" customWidth="1"/>
    <col min="7380" max="7380" width="0" style="1046" hidden="1" customWidth="1"/>
    <col min="7381" max="7381" width="12.7109375" style="1046" customWidth="1"/>
    <col min="7382" max="7382" width="8.28515625" style="1046" customWidth="1"/>
    <col min="7383" max="7383" width="14.42578125" style="1046" customWidth="1"/>
    <col min="7384" max="7384" width="7.28515625" style="1046" customWidth="1"/>
    <col min="7385" max="7385" width="9.5703125" style="1046" customWidth="1"/>
    <col min="7386" max="7386" width="17" style="1046" customWidth="1"/>
    <col min="7387" max="7387" width="0" style="1046" hidden="1" customWidth="1"/>
    <col min="7388" max="7388" width="15.140625" style="1046" customWidth="1"/>
    <col min="7389" max="7389" width="13.85546875" style="1046" customWidth="1"/>
    <col min="7390" max="7390" width="4.42578125" style="1046" customWidth="1"/>
    <col min="7391" max="7391" width="12.28515625" style="1046" customWidth="1"/>
    <col min="7392" max="7392" width="6" style="1046" customWidth="1"/>
    <col min="7393" max="7393" width="19.85546875" style="1046" customWidth="1"/>
    <col min="7394" max="7394" width="5.140625" style="1046" customWidth="1"/>
    <col min="7395" max="7395" width="17.28515625" style="1046" bestFit="1" customWidth="1"/>
    <col min="7396" max="7397" width="0" style="1046" hidden="1" customWidth="1"/>
    <col min="7398" max="7398" width="5.85546875" style="1046" customWidth="1"/>
    <col min="7399" max="7399" width="10.42578125" style="1046" customWidth="1"/>
    <col min="7400" max="7400" width="15.42578125" style="1046" customWidth="1"/>
    <col min="7401" max="7401" width="11.85546875" style="1046" customWidth="1"/>
    <col min="7402" max="7402" width="16.42578125" style="1046" customWidth="1"/>
    <col min="7403" max="7403" width="17.28515625" style="1046" customWidth="1"/>
    <col min="7404" max="7404" width="19" style="1046" bestFit="1" customWidth="1"/>
    <col min="7405" max="7405" width="20" style="1046" customWidth="1"/>
    <col min="7406" max="7406" width="18.7109375" style="1046" bestFit="1" customWidth="1"/>
    <col min="7407" max="7407" width="17.85546875" style="1046" bestFit="1" customWidth="1"/>
    <col min="7408" max="7408" width="16.42578125" style="1046" bestFit="1" customWidth="1"/>
    <col min="7409" max="7423" width="9.140625" style="1046"/>
    <col min="7424" max="7424" width="6.85546875" style="1046" customWidth="1"/>
    <col min="7425" max="7425" width="54.85546875" style="1046" customWidth="1"/>
    <col min="7426" max="7426" width="0" style="1046" hidden="1" customWidth="1"/>
    <col min="7427" max="7427" width="12.7109375" style="1046" customWidth="1"/>
    <col min="7428" max="7428" width="13.85546875" style="1046" customWidth="1"/>
    <col min="7429" max="7429" width="19.42578125" style="1046" customWidth="1"/>
    <col min="7430" max="7430" width="9.28515625" style="1046" customWidth="1"/>
    <col min="7431" max="7431" width="11.85546875" style="1046" customWidth="1"/>
    <col min="7432" max="7432" width="16.42578125" style="1046" customWidth="1"/>
    <col min="7433" max="7433" width="0" style="1046" hidden="1" customWidth="1"/>
    <col min="7434" max="7434" width="16.5703125" style="1046" customWidth="1"/>
    <col min="7435" max="7436" width="0" style="1046" hidden="1" customWidth="1"/>
    <col min="7437" max="7438" width="16.5703125" style="1046" customWidth="1"/>
    <col min="7439" max="7439" width="5.140625" style="1046" customWidth="1"/>
    <col min="7440" max="7440" width="16.5703125" style="1046" customWidth="1"/>
    <col min="7441" max="7441" width="5.140625" style="1046" customWidth="1"/>
    <col min="7442" max="7442" width="16.5703125" style="1046" customWidth="1"/>
    <col min="7443" max="7443" width="5.140625" style="1046" customWidth="1"/>
    <col min="7444" max="7444" width="16.5703125" style="1046" customWidth="1"/>
    <col min="7445" max="7445" width="5.140625" style="1046" customWidth="1"/>
    <col min="7446" max="7446" width="15.28515625" style="1046" customWidth="1"/>
    <col min="7447" max="7447" width="4.7109375" style="1046" customWidth="1"/>
    <col min="7448" max="7448" width="0" style="1046" hidden="1" customWidth="1"/>
    <col min="7449" max="7449" width="6.5703125" style="1046" customWidth="1"/>
    <col min="7450" max="7450" width="10.5703125" style="1046" customWidth="1"/>
    <col min="7451" max="7451" width="17.42578125" style="1046" customWidth="1"/>
    <col min="7452" max="7452" width="7.7109375" style="1046" customWidth="1"/>
    <col min="7453" max="7453" width="15.42578125" style="1046" customWidth="1"/>
    <col min="7454" max="7454" width="16.42578125" style="1046" customWidth="1"/>
    <col min="7455" max="7455" width="17.28515625" style="1046" customWidth="1"/>
    <col min="7456" max="7456" width="0" style="1046" hidden="1" customWidth="1"/>
    <col min="7457" max="7457" width="19" style="1046" customWidth="1"/>
    <col min="7458" max="7460" width="26" style="1046" customWidth="1"/>
    <col min="7461" max="7461" width="35.42578125" style="1046" customWidth="1"/>
    <col min="7462" max="7462" width="27.5703125" style="1046" customWidth="1"/>
    <col min="7463" max="7463" width="9.140625" style="1046"/>
    <col min="7464" max="7464" width="26.7109375" style="1046" customWidth="1"/>
    <col min="7465" max="7465" width="17.28515625" style="1046" customWidth="1"/>
    <col min="7466" max="7631" width="9.140625" style="1046"/>
    <col min="7632" max="7633" width="3" style="1046" customWidth="1"/>
    <col min="7634" max="7634" width="4.42578125" style="1046" bestFit="1" customWidth="1"/>
    <col min="7635" max="7635" width="59.140625" style="1046" customWidth="1"/>
    <col min="7636" max="7636" width="0" style="1046" hidden="1" customWidth="1"/>
    <col min="7637" max="7637" width="12.7109375" style="1046" customWidth="1"/>
    <col min="7638" max="7638" width="8.28515625" style="1046" customWidth="1"/>
    <col min="7639" max="7639" width="14.42578125" style="1046" customWidth="1"/>
    <col min="7640" max="7640" width="7.28515625" style="1046" customWidth="1"/>
    <col min="7641" max="7641" width="9.5703125" style="1046" customWidth="1"/>
    <col min="7642" max="7642" width="17" style="1046" customWidth="1"/>
    <col min="7643" max="7643" width="0" style="1046" hidden="1" customWidth="1"/>
    <col min="7644" max="7644" width="15.140625" style="1046" customWidth="1"/>
    <col min="7645" max="7645" width="13.85546875" style="1046" customWidth="1"/>
    <col min="7646" max="7646" width="4.42578125" style="1046" customWidth="1"/>
    <col min="7647" max="7647" width="12.28515625" style="1046" customWidth="1"/>
    <col min="7648" max="7648" width="6" style="1046" customWidth="1"/>
    <col min="7649" max="7649" width="19.85546875" style="1046" customWidth="1"/>
    <col min="7650" max="7650" width="5.140625" style="1046" customWidth="1"/>
    <col min="7651" max="7651" width="17.28515625" style="1046" bestFit="1" customWidth="1"/>
    <col min="7652" max="7653" width="0" style="1046" hidden="1" customWidth="1"/>
    <col min="7654" max="7654" width="5.85546875" style="1046" customWidth="1"/>
    <col min="7655" max="7655" width="10.42578125" style="1046" customWidth="1"/>
    <col min="7656" max="7656" width="15.42578125" style="1046" customWidth="1"/>
    <col min="7657" max="7657" width="11.85546875" style="1046" customWidth="1"/>
    <col min="7658" max="7658" width="16.42578125" style="1046" customWidth="1"/>
    <col min="7659" max="7659" width="17.28515625" style="1046" customWidth="1"/>
    <col min="7660" max="7660" width="19" style="1046" bestFit="1" customWidth="1"/>
    <col min="7661" max="7661" width="20" style="1046" customWidth="1"/>
    <col min="7662" max="7662" width="18.7109375" style="1046" bestFit="1" customWidth="1"/>
    <col min="7663" max="7663" width="17.85546875" style="1046" bestFit="1" customWidth="1"/>
    <col min="7664" max="7664" width="16.42578125" style="1046" bestFit="1" customWidth="1"/>
    <col min="7665" max="7679" width="9.140625" style="1046"/>
    <col min="7680" max="7680" width="6.85546875" style="1046" customWidth="1"/>
    <col min="7681" max="7681" width="54.85546875" style="1046" customWidth="1"/>
    <col min="7682" max="7682" width="0" style="1046" hidden="1" customWidth="1"/>
    <col min="7683" max="7683" width="12.7109375" style="1046" customWidth="1"/>
    <col min="7684" max="7684" width="13.85546875" style="1046" customWidth="1"/>
    <col min="7685" max="7685" width="19.42578125" style="1046" customWidth="1"/>
    <col min="7686" max="7686" width="9.28515625" style="1046" customWidth="1"/>
    <col min="7687" max="7687" width="11.85546875" style="1046" customWidth="1"/>
    <col min="7688" max="7688" width="16.42578125" style="1046" customWidth="1"/>
    <col min="7689" max="7689" width="0" style="1046" hidden="1" customWidth="1"/>
    <col min="7690" max="7690" width="16.5703125" style="1046" customWidth="1"/>
    <col min="7691" max="7692" width="0" style="1046" hidden="1" customWidth="1"/>
    <col min="7693" max="7694" width="16.5703125" style="1046" customWidth="1"/>
    <col min="7695" max="7695" width="5.140625" style="1046" customWidth="1"/>
    <col min="7696" max="7696" width="16.5703125" style="1046" customWidth="1"/>
    <col min="7697" max="7697" width="5.140625" style="1046" customWidth="1"/>
    <col min="7698" max="7698" width="16.5703125" style="1046" customWidth="1"/>
    <col min="7699" max="7699" width="5.140625" style="1046" customWidth="1"/>
    <col min="7700" max="7700" width="16.5703125" style="1046" customWidth="1"/>
    <col min="7701" max="7701" width="5.140625" style="1046" customWidth="1"/>
    <col min="7702" max="7702" width="15.28515625" style="1046" customWidth="1"/>
    <col min="7703" max="7703" width="4.7109375" style="1046" customWidth="1"/>
    <col min="7704" max="7704" width="0" style="1046" hidden="1" customWidth="1"/>
    <col min="7705" max="7705" width="6.5703125" style="1046" customWidth="1"/>
    <col min="7706" max="7706" width="10.5703125" style="1046" customWidth="1"/>
    <col min="7707" max="7707" width="17.42578125" style="1046" customWidth="1"/>
    <col min="7708" max="7708" width="7.7109375" style="1046" customWidth="1"/>
    <col min="7709" max="7709" width="15.42578125" style="1046" customWidth="1"/>
    <col min="7710" max="7710" width="16.42578125" style="1046" customWidth="1"/>
    <col min="7711" max="7711" width="17.28515625" style="1046" customWidth="1"/>
    <col min="7712" max="7712" width="0" style="1046" hidden="1" customWidth="1"/>
    <col min="7713" max="7713" width="19" style="1046" customWidth="1"/>
    <col min="7714" max="7716" width="26" style="1046" customWidth="1"/>
    <col min="7717" max="7717" width="35.42578125" style="1046" customWidth="1"/>
    <col min="7718" max="7718" width="27.5703125" style="1046" customWidth="1"/>
    <col min="7719" max="7719" width="9.140625" style="1046"/>
    <col min="7720" max="7720" width="26.7109375" style="1046" customWidth="1"/>
    <col min="7721" max="7721" width="17.28515625" style="1046" customWidth="1"/>
    <col min="7722" max="7887" width="9.140625" style="1046"/>
    <col min="7888" max="7889" width="3" style="1046" customWidth="1"/>
    <col min="7890" max="7890" width="4.42578125" style="1046" bestFit="1" customWidth="1"/>
    <col min="7891" max="7891" width="59.140625" style="1046" customWidth="1"/>
    <col min="7892" max="7892" width="0" style="1046" hidden="1" customWidth="1"/>
    <col min="7893" max="7893" width="12.7109375" style="1046" customWidth="1"/>
    <col min="7894" max="7894" width="8.28515625" style="1046" customWidth="1"/>
    <col min="7895" max="7895" width="14.42578125" style="1046" customWidth="1"/>
    <col min="7896" max="7896" width="7.28515625" style="1046" customWidth="1"/>
    <col min="7897" max="7897" width="9.5703125" style="1046" customWidth="1"/>
    <col min="7898" max="7898" width="17" style="1046" customWidth="1"/>
    <col min="7899" max="7899" width="0" style="1046" hidden="1" customWidth="1"/>
    <col min="7900" max="7900" width="15.140625" style="1046" customWidth="1"/>
    <col min="7901" max="7901" width="13.85546875" style="1046" customWidth="1"/>
    <col min="7902" max="7902" width="4.42578125" style="1046" customWidth="1"/>
    <col min="7903" max="7903" width="12.28515625" style="1046" customWidth="1"/>
    <col min="7904" max="7904" width="6" style="1046" customWidth="1"/>
    <col min="7905" max="7905" width="19.85546875" style="1046" customWidth="1"/>
    <col min="7906" max="7906" width="5.140625" style="1046" customWidth="1"/>
    <col min="7907" max="7907" width="17.28515625" style="1046" bestFit="1" customWidth="1"/>
    <col min="7908" max="7909" width="0" style="1046" hidden="1" customWidth="1"/>
    <col min="7910" max="7910" width="5.85546875" style="1046" customWidth="1"/>
    <col min="7911" max="7911" width="10.42578125" style="1046" customWidth="1"/>
    <col min="7912" max="7912" width="15.42578125" style="1046" customWidth="1"/>
    <col min="7913" max="7913" width="11.85546875" style="1046" customWidth="1"/>
    <col min="7914" max="7914" width="16.42578125" style="1046" customWidth="1"/>
    <col min="7915" max="7915" width="17.28515625" style="1046" customWidth="1"/>
    <col min="7916" max="7916" width="19" style="1046" bestFit="1" customWidth="1"/>
    <col min="7917" max="7917" width="20" style="1046" customWidth="1"/>
    <col min="7918" max="7918" width="18.7109375" style="1046" bestFit="1" customWidth="1"/>
    <col min="7919" max="7919" width="17.85546875" style="1046" bestFit="1" customWidth="1"/>
    <col min="7920" max="7920" width="16.42578125" style="1046" bestFit="1" customWidth="1"/>
    <col min="7921" max="7935" width="9.140625" style="1046"/>
    <col min="7936" max="7936" width="6.85546875" style="1046" customWidth="1"/>
    <col min="7937" max="7937" width="54.85546875" style="1046" customWidth="1"/>
    <col min="7938" max="7938" width="0" style="1046" hidden="1" customWidth="1"/>
    <col min="7939" max="7939" width="12.7109375" style="1046" customWidth="1"/>
    <col min="7940" max="7940" width="13.85546875" style="1046" customWidth="1"/>
    <col min="7941" max="7941" width="19.42578125" style="1046" customWidth="1"/>
    <col min="7942" max="7942" width="9.28515625" style="1046" customWidth="1"/>
    <col min="7943" max="7943" width="11.85546875" style="1046" customWidth="1"/>
    <col min="7944" max="7944" width="16.42578125" style="1046" customWidth="1"/>
    <col min="7945" max="7945" width="0" style="1046" hidden="1" customWidth="1"/>
    <col min="7946" max="7946" width="16.5703125" style="1046" customWidth="1"/>
    <col min="7947" max="7948" width="0" style="1046" hidden="1" customWidth="1"/>
    <col min="7949" max="7950" width="16.5703125" style="1046" customWidth="1"/>
    <col min="7951" max="7951" width="5.140625" style="1046" customWidth="1"/>
    <col min="7952" max="7952" width="16.5703125" style="1046" customWidth="1"/>
    <col min="7953" max="7953" width="5.140625" style="1046" customWidth="1"/>
    <col min="7954" max="7954" width="16.5703125" style="1046" customWidth="1"/>
    <col min="7955" max="7955" width="5.140625" style="1046" customWidth="1"/>
    <col min="7956" max="7956" width="16.5703125" style="1046" customWidth="1"/>
    <col min="7957" max="7957" width="5.140625" style="1046" customWidth="1"/>
    <col min="7958" max="7958" width="15.28515625" style="1046" customWidth="1"/>
    <col min="7959" max="7959" width="4.7109375" style="1046" customWidth="1"/>
    <col min="7960" max="7960" width="0" style="1046" hidden="1" customWidth="1"/>
    <col min="7961" max="7961" width="6.5703125" style="1046" customWidth="1"/>
    <col min="7962" max="7962" width="10.5703125" style="1046" customWidth="1"/>
    <col min="7963" max="7963" width="17.42578125" style="1046" customWidth="1"/>
    <col min="7964" max="7964" width="7.7109375" style="1046" customWidth="1"/>
    <col min="7965" max="7965" width="15.42578125" style="1046" customWidth="1"/>
    <col min="7966" max="7966" width="16.42578125" style="1046" customWidth="1"/>
    <col min="7967" max="7967" width="17.28515625" style="1046" customWidth="1"/>
    <col min="7968" max="7968" width="0" style="1046" hidden="1" customWidth="1"/>
    <col min="7969" max="7969" width="19" style="1046" customWidth="1"/>
    <col min="7970" max="7972" width="26" style="1046" customWidth="1"/>
    <col min="7973" max="7973" width="35.42578125" style="1046" customWidth="1"/>
    <col min="7974" max="7974" width="27.5703125" style="1046" customWidth="1"/>
    <col min="7975" max="7975" width="9.140625" style="1046"/>
    <col min="7976" max="7976" width="26.7109375" style="1046" customWidth="1"/>
    <col min="7977" max="7977" width="17.28515625" style="1046" customWidth="1"/>
    <col min="7978" max="8143" width="9.140625" style="1046"/>
    <col min="8144" max="8145" width="3" style="1046" customWidth="1"/>
    <col min="8146" max="8146" width="4.42578125" style="1046" bestFit="1" customWidth="1"/>
    <col min="8147" max="8147" width="59.140625" style="1046" customWidth="1"/>
    <col min="8148" max="8148" width="0" style="1046" hidden="1" customWidth="1"/>
    <col min="8149" max="8149" width="12.7109375" style="1046" customWidth="1"/>
    <col min="8150" max="8150" width="8.28515625" style="1046" customWidth="1"/>
    <col min="8151" max="8151" width="14.42578125" style="1046" customWidth="1"/>
    <col min="8152" max="8152" width="7.28515625" style="1046" customWidth="1"/>
    <col min="8153" max="8153" width="9.5703125" style="1046" customWidth="1"/>
    <col min="8154" max="8154" width="17" style="1046" customWidth="1"/>
    <col min="8155" max="8155" width="0" style="1046" hidden="1" customWidth="1"/>
    <col min="8156" max="8156" width="15.140625" style="1046" customWidth="1"/>
    <col min="8157" max="8157" width="13.85546875" style="1046" customWidth="1"/>
    <col min="8158" max="8158" width="4.42578125" style="1046" customWidth="1"/>
    <col min="8159" max="8159" width="12.28515625" style="1046" customWidth="1"/>
    <col min="8160" max="8160" width="6" style="1046" customWidth="1"/>
    <col min="8161" max="8161" width="19.85546875" style="1046" customWidth="1"/>
    <col min="8162" max="8162" width="5.140625" style="1046" customWidth="1"/>
    <col min="8163" max="8163" width="17.28515625" style="1046" bestFit="1" customWidth="1"/>
    <col min="8164" max="8165" width="0" style="1046" hidden="1" customWidth="1"/>
    <col min="8166" max="8166" width="5.85546875" style="1046" customWidth="1"/>
    <col min="8167" max="8167" width="10.42578125" style="1046" customWidth="1"/>
    <col min="8168" max="8168" width="15.42578125" style="1046" customWidth="1"/>
    <col min="8169" max="8169" width="11.85546875" style="1046" customWidth="1"/>
    <col min="8170" max="8170" width="16.42578125" style="1046" customWidth="1"/>
    <col min="8171" max="8171" width="17.28515625" style="1046" customWidth="1"/>
    <col min="8172" max="8172" width="19" style="1046" bestFit="1" customWidth="1"/>
    <col min="8173" max="8173" width="20" style="1046" customWidth="1"/>
    <col min="8174" max="8174" width="18.7109375" style="1046" bestFit="1" customWidth="1"/>
    <col min="8175" max="8175" width="17.85546875" style="1046" bestFit="1" customWidth="1"/>
    <col min="8176" max="8176" width="16.42578125" style="1046" bestFit="1" customWidth="1"/>
    <col min="8177" max="8191" width="9.140625" style="1046"/>
    <col min="8192" max="8192" width="6.85546875" style="1046" customWidth="1"/>
    <col min="8193" max="8193" width="54.85546875" style="1046" customWidth="1"/>
    <col min="8194" max="8194" width="0" style="1046" hidden="1" customWidth="1"/>
    <col min="8195" max="8195" width="12.7109375" style="1046" customWidth="1"/>
    <col min="8196" max="8196" width="13.85546875" style="1046" customWidth="1"/>
    <col min="8197" max="8197" width="19.42578125" style="1046" customWidth="1"/>
    <col min="8198" max="8198" width="9.28515625" style="1046" customWidth="1"/>
    <col min="8199" max="8199" width="11.85546875" style="1046" customWidth="1"/>
    <col min="8200" max="8200" width="16.42578125" style="1046" customWidth="1"/>
    <col min="8201" max="8201" width="0" style="1046" hidden="1" customWidth="1"/>
    <col min="8202" max="8202" width="16.5703125" style="1046" customWidth="1"/>
    <col min="8203" max="8204" width="0" style="1046" hidden="1" customWidth="1"/>
    <col min="8205" max="8206" width="16.5703125" style="1046" customWidth="1"/>
    <col min="8207" max="8207" width="5.140625" style="1046" customWidth="1"/>
    <col min="8208" max="8208" width="16.5703125" style="1046" customWidth="1"/>
    <col min="8209" max="8209" width="5.140625" style="1046" customWidth="1"/>
    <col min="8210" max="8210" width="16.5703125" style="1046" customWidth="1"/>
    <col min="8211" max="8211" width="5.140625" style="1046" customWidth="1"/>
    <col min="8212" max="8212" width="16.5703125" style="1046" customWidth="1"/>
    <col min="8213" max="8213" width="5.140625" style="1046" customWidth="1"/>
    <col min="8214" max="8214" width="15.28515625" style="1046" customWidth="1"/>
    <col min="8215" max="8215" width="4.7109375" style="1046" customWidth="1"/>
    <col min="8216" max="8216" width="0" style="1046" hidden="1" customWidth="1"/>
    <col min="8217" max="8217" width="6.5703125" style="1046" customWidth="1"/>
    <col min="8218" max="8218" width="10.5703125" style="1046" customWidth="1"/>
    <col min="8219" max="8219" width="17.42578125" style="1046" customWidth="1"/>
    <col min="8220" max="8220" width="7.7109375" style="1046" customWidth="1"/>
    <col min="8221" max="8221" width="15.42578125" style="1046" customWidth="1"/>
    <col min="8222" max="8222" width="16.42578125" style="1046" customWidth="1"/>
    <col min="8223" max="8223" width="17.28515625" style="1046" customWidth="1"/>
    <col min="8224" max="8224" width="0" style="1046" hidden="1" customWidth="1"/>
    <col min="8225" max="8225" width="19" style="1046" customWidth="1"/>
    <col min="8226" max="8228" width="26" style="1046" customWidth="1"/>
    <col min="8229" max="8229" width="35.42578125" style="1046" customWidth="1"/>
    <col min="8230" max="8230" width="27.5703125" style="1046" customWidth="1"/>
    <col min="8231" max="8231" width="9.140625" style="1046"/>
    <col min="8232" max="8232" width="26.7109375" style="1046" customWidth="1"/>
    <col min="8233" max="8233" width="17.28515625" style="1046" customWidth="1"/>
    <col min="8234" max="8399" width="9.140625" style="1046"/>
    <col min="8400" max="8401" width="3" style="1046" customWidth="1"/>
    <col min="8402" max="8402" width="4.42578125" style="1046" bestFit="1" customWidth="1"/>
    <col min="8403" max="8403" width="59.140625" style="1046" customWidth="1"/>
    <col min="8404" max="8404" width="0" style="1046" hidden="1" customWidth="1"/>
    <col min="8405" max="8405" width="12.7109375" style="1046" customWidth="1"/>
    <col min="8406" max="8406" width="8.28515625" style="1046" customWidth="1"/>
    <col min="8407" max="8407" width="14.42578125" style="1046" customWidth="1"/>
    <col min="8408" max="8408" width="7.28515625" style="1046" customWidth="1"/>
    <col min="8409" max="8409" width="9.5703125" style="1046" customWidth="1"/>
    <col min="8410" max="8410" width="17" style="1046" customWidth="1"/>
    <col min="8411" max="8411" width="0" style="1046" hidden="1" customWidth="1"/>
    <col min="8412" max="8412" width="15.140625" style="1046" customWidth="1"/>
    <col min="8413" max="8413" width="13.85546875" style="1046" customWidth="1"/>
    <col min="8414" max="8414" width="4.42578125" style="1046" customWidth="1"/>
    <col min="8415" max="8415" width="12.28515625" style="1046" customWidth="1"/>
    <col min="8416" max="8416" width="6" style="1046" customWidth="1"/>
    <col min="8417" max="8417" width="19.85546875" style="1046" customWidth="1"/>
    <col min="8418" max="8418" width="5.140625" style="1046" customWidth="1"/>
    <col min="8419" max="8419" width="17.28515625" style="1046" bestFit="1" customWidth="1"/>
    <col min="8420" max="8421" width="0" style="1046" hidden="1" customWidth="1"/>
    <col min="8422" max="8422" width="5.85546875" style="1046" customWidth="1"/>
    <col min="8423" max="8423" width="10.42578125" style="1046" customWidth="1"/>
    <col min="8424" max="8424" width="15.42578125" style="1046" customWidth="1"/>
    <col min="8425" max="8425" width="11.85546875" style="1046" customWidth="1"/>
    <col min="8426" max="8426" width="16.42578125" style="1046" customWidth="1"/>
    <col min="8427" max="8427" width="17.28515625" style="1046" customWidth="1"/>
    <col min="8428" max="8428" width="19" style="1046" bestFit="1" customWidth="1"/>
    <col min="8429" max="8429" width="20" style="1046" customWidth="1"/>
    <col min="8430" max="8430" width="18.7109375" style="1046" bestFit="1" customWidth="1"/>
    <col min="8431" max="8431" width="17.85546875" style="1046" bestFit="1" customWidth="1"/>
    <col min="8432" max="8432" width="16.42578125" style="1046" bestFit="1" customWidth="1"/>
    <col min="8433" max="8447" width="9.140625" style="1046"/>
    <col min="8448" max="8448" width="6.85546875" style="1046" customWidth="1"/>
    <col min="8449" max="8449" width="54.85546875" style="1046" customWidth="1"/>
    <col min="8450" max="8450" width="0" style="1046" hidden="1" customWidth="1"/>
    <col min="8451" max="8451" width="12.7109375" style="1046" customWidth="1"/>
    <col min="8452" max="8452" width="13.85546875" style="1046" customWidth="1"/>
    <col min="8453" max="8453" width="19.42578125" style="1046" customWidth="1"/>
    <col min="8454" max="8454" width="9.28515625" style="1046" customWidth="1"/>
    <col min="8455" max="8455" width="11.85546875" style="1046" customWidth="1"/>
    <col min="8456" max="8456" width="16.42578125" style="1046" customWidth="1"/>
    <col min="8457" max="8457" width="0" style="1046" hidden="1" customWidth="1"/>
    <col min="8458" max="8458" width="16.5703125" style="1046" customWidth="1"/>
    <col min="8459" max="8460" width="0" style="1046" hidden="1" customWidth="1"/>
    <col min="8461" max="8462" width="16.5703125" style="1046" customWidth="1"/>
    <col min="8463" max="8463" width="5.140625" style="1046" customWidth="1"/>
    <col min="8464" max="8464" width="16.5703125" style="1046" customWidth="1"/>
    <col min="8465" max="8465" width="5.140625" style="1046" customWidth="1"/>
    <col min="8466" max="8466" width="16.5703125" style="1046" customWidth="1"/>
    <col min="8467" max="8467" width="5.140625" style="1046" customWidth="1"/>
    <col min="8468" max="8468" width="16.5703125" style="1046" customWidth="1"/>
    <col min="8469" max="8469" width="5.140625" style="1046" customWidth="1"/>
    <col min="8470" max="8470" width="15.28515625" style="1046" customWidth="1"/>
    <col min="8471" max="8471" width="4.7109375" style="1046" customWidth="1"/>
    <col min="8472" max="8472" width="0" style="1046" hidden="1" customWidth="1"/>
    <col min="8473" max="8473" width="6.5703125" style="1046" customWidth="1"/>
    <col min="8474" max="8474" width="10.5703125" style="1046" customWidth="1"/>
    <col min="8475" max="8475" width="17.42578125" style="1046" customWidth="1"/>
    <col min="8476" max="8476" width="7.7109375" style="1046" customWidth="1"/>
    <col min="8477" max="8477" width="15.42578125" style="1046" customWidth="1"/>
    <col min="8478" max="8478" width="16.42578125" style="1046" customWidth="1"/>
    <col min="8479" max="8479" width="17.28515625" style="1046" customWidth="1"/>
    <col min="8480" max="8480" width="0" style="1046" hidden="1" customWidth="1"/>
    <col min="8481" max="8481" width="19" style="1046" customWidth="1"/>
    <col min="8482" max="8484" width="26" style="1046" customWidth="1"/>
    <col min="8485" max="8485" width="35.42578125" style="1046" customWidth="1"/>
    <col min="8486" max="8486" width="27.5703125" style="1046" customWidth="1"/>
    <col min="8487" max="8487" width="9.140625" style="1046"/>
    <col min="8488" max="8488" width="26.7109375" style="1046" customWidth="1"/>
    <col min="8489" max="8489" width="17.28515625" style="1046" customWidth="1"/>
    <col min="8490" max="8655" width="9.140625" style="1046"/>
    <col min="8656" max="8657" width="3" style="1046" customWidth="1"/>
    <col min="8658" max="8658" width="4.42578125" style="1046" bestFit="1" customWidth="1"/>
    <col min="8659" max="8659" width="59.140625" style="1046" customWidth="1"/>
    <col min="8660" max="8660" width="0" style="1046" hidden="1" customWidth="1"/>
    <col min="8661" max="8661" width="12.7109375" style="1046" customWidth="1"/>
    <col min="8662" max="8662" width="8.28515625" style="1046" customWidth="1"/>
    <col min="8663" max="8663" width="14.42578125" style="1046" customWidth="1"/>
    <col min="8664" max="8664" width="7.28515625" style="1046" customWidth="1"/>
    <col min="8665" max="8665" width="9.5703125" style="1046" customWidth="1"/>
    <col min="8666" max="8666" width="17" style="1046" customWidth="1"/>
    <col min="8667" max="8667" width="0" style="1046" hidden="1" customWidth="1"/>
    <col min="8668" max="8668" width="15.140625" style="1046" customWidth="1"/>
    <col min="8669" max="8669" width="13.85546875" style="1046" customWidth="1"/>
    <col min="8670" max="8670" width="4.42578125" style="1046" customWidth="1"/>
    <col min="8671" max="8671" width="12.28515625" style="1046" customWidth="1"/>
    <col min="8672" max="8672" width="6" style="1046" customWidth="1"/>
    <col min="8673" max="8673" width="19.85546875" style="1046" customWidth="1"/>
    <col min="8674" max="8674" width="5.140625" style="1046" customWidth="1"/>
    <col min="8675" max="8675" width="17.28515625" style="1046" bestFit="1" customWidth="1"/>
    <col min="8676" max="8677" width="0" style="1046" hidden="1" customWidth="1"/>
    <col min="8678" max="8678" width="5.85546875" style="1046" customWidth="1"/>
    <col min="8679" max="8679" width="10.42578125" style="1046" customWidth="1"/>
    <col min="8680" max="8680" width="15.42578125" style="1046" customWidth="1"/>
    <col min="8681" max="8681" width="11.85546875" style="1046" customWidth="1"/>
    <col min="8682" max="8682" width="16.42578125" style="1046" customWidth="1"/>
    <col min="8683" max="8683" width="17.28515625" style="1046" customWidth="1"/>
    <col min="8684" max="8684" width="19" style="1046" bestFit="1" customWidth="1"/>
    <col min="8685" max="8685" width="20" style="1046" customWidth="1"/>
    <col min="8686" max="8686" width="18.7109375" style="1046" bestFit="1" customWidth="1"/>
    <col min="8687" max="8687" width="17.85546875" style="1046" bestFit="1" customWidth="1"/>
    <col min="8688" max="8688" width="16.42578125" style="1046" bestFit="1" customWidth="1"/>
    <col min="8689" max="8703" width="9.140625" style="1046"/>
    <col min="8704" max="8704" width="6.85546875" style="1046" customWidth="1"/>
    <col min="8705" max="8705" width="54.85546875" style="1046" customWidth="1"/>
    <col min="8706" max="8706" width="0" style="1046" hidden="1" customWidth="1"/>
    <col min="8707" max="8707" width="12.7109375" style="1046" customWidth="1"/>
    <col min="8708" max="8708" width="13.85546875" style="1046" customWidth="1"/>
    <col min="8709" max="8709" width="19.42578125" style="1046" customWidth="1"/>
    <col min="8710" max="8710" width="9.28515625" style="1046" customWidth="1"/>
    <col min="8711" max="8711" width="11.85546875" style="1046" customWidth="1"/>
    <col min="8712" max="8712" width="16.42578125" style="1046" customWidth="1"/>
    <col min="8713" max="8713" width="0" style="1046" hidden="1" customWidth="1"/>
    <col min="8714" max="8714" width="16.5703125" style="1046" customWidth="1"/>
    <col min="8715" max="8716" width="0" style="1046" hidden="1" customWidth="1"/>
    <col min="8717" max="8718" width="16.5703125" style="1046" customWidth="1"/>
    <col min="8719" max="8719" width="5.140625" style="1046" customWidth="1"/>
    <col min="8720" max="8720" width="16.5703125" style="1046" customWidth="1"/>
    <col min="8721" max="8721" width="5.140625" style="1046" customWidth="1"/>
    <col min="8722" max="8722" width="16.5703125" style="1046" customWidth="1"/>
    <col min="8723" max="8723" width="5.140625" style="1046" customWidth="1"/>
    <col min="8724" max="8724" width="16.5703125" style="1046" customWidth="1"/>
    <col min="8725" max="8725" width="5.140625" style="1046" customWidth="1"/>
    <col min="8726" max="8726" width="15.28515625" style="1046" customWidth="1"/>
    <col min="8727" max="8727" width="4.7109375" style="1046" customWidth="1"/>
    <col min="8728" max="8728" width="0" style="1046" hidden="1" customWidth="1"/>
    <col min="8729" max="8729" width="6.5703125" style="1046" customWidth="1"/>
    <col min="8730" max="8730" width="10.5703125" style="1046" customWidth="1"/>
    <col min="8731" max="8731" width="17.42578125" style="1046" customWidth="1"/>
    <col min="8732" max="8732" width="7.7109375" style="1046" customWidth="1"/>
    <col min="8733" max="8733" width="15.42578125" style="1046" customWidth="1"/>
    <col min="8734" max="8734" width="16.42578125" style="1046" customWidth="1"/>
    <col min="8735" max="8735" width="17.28515625" style="1046" customWidth="1"/>
    <col min="8736" max="8736" width="0" style="1046" hidden="1" customWidth="1"/>
    <col min="8737" max="8737" width="19" style="1046" customWidth="1"/>
    <col min="8738" max="8740" width="26" style="1046" customWidth="1"/>
    <col min="8741" max="8741" width="35.42578125" style="1046" customWidth="1"/>
    <col min="8742" max="8742" width="27.5703125" style="1046" customWidth="1"/>
    <col min="8743" max="8743" width="9.140625" style="1046"/>
    <col min="8744" max="8744" width="26.7109375" style="1046" customWidth="1"/>
    <col min="8745" max="8745" width="17.28515625" style="1046" customWidth="1"/>
    <col min="8746" max="8911" width="9.140625" style="1046"/>
    <col min="8912" max="8913" width="3" style="1046" customWidth="1"/>
    <col min="8914" max="8914" width="4.42578125" style="1046" bestFit="1" customWidth="1"/>
    <col min="8915" max="8915" width="59.140625" style="1046" customWidth="1"/>
    <col min="8916" max="8916" width="0" style="1046" hidden="1" customWidth="1"/>
    <col min="8917" max="8917" width="12.7109375" style="1046" customWidth="1"/>
    <col min="8918" max="8918" width="8.28515625" style="1046" customWidth="1"/>
    <col min="8919" max="8919" width="14.42578125" style="1046" customWidth="1"/>
    <col min="8920" max="8920" width="7.28515625" style="1046" customWidth="1"/>
    <col min="8921" max="8921" width="9.5703125" style="1046" customWidth="1"/>
    <col min="8922" max="8922" width="17" style="1046" customWidth="1"/>
    <col min="8923" max="8923" width="0" style="1046" hidden="1" customWidth="1"/>
    <col min="8924" max="8924" width="15.140625" style="1046" customWidth="1"/>
    <col min="8925" max="8925" width="13.85546875" style="1046" customWidth="1"/>
    <col min="8926" max="8926" width="4.42578125" style="1046" customWidth="1"/>
    <col min="8927" max="8927" width="12.28515625" style="1046" customWidth="1"/>
    <col min="8928" max="8928" width="6" style="1046" customWidth="1"/>
    <col min="8929" max="8929" width="19.85546875" style="1046" customWidth="1"/>
    <col min="8930" max="8930" width="5.140625" style="1046" customWidth="1"/>
    <col min="8931" max="8931" width="17.28515625" style="1046" bestFit="1" customWidth="1"/>
    <col min="8932" max="8933" width="0" style="1046" hidden="1" customWidth="1"/>
    <col min="8934" max="8934" width="5.85546875" style="1046" customWidth="1"/>
    <col min="8935" max="8935" width="10.42578125" style="1046" customWidth="1"/>
    <col min="8936" max="8936" width="15.42578125" style="1046" customWidth="1"/>
    <col min="8937" max="8937" width="11.85546875" style="1046" customWidth="1"/>
    <col min="8938" max="8938" width="16.42578125" style="1046" customWidth="1"/>
    <col min="8939" max="8939" width="17.28515625" style="1046" customWidth="1"/>
    <col min="8940" max="8940" width="19" style="1046" bestFit="1" customWidth="1"/>
    <col min="8941" max="8941" width="20" style="1046" customWidth="1"/>
    <col min="8942" max="8942" width="18.7109375" style="1046" bestFit="1" customWidth="1"/>
    <col min="8943" max="8943" width="17.85546875" style="1046" bestFit="1" customWidth="1"/>
    <col min="8944" max="8944" width="16.42578125" style="1046" bestFit="1" customWidth="1"/>
    <col min="8945" max="8959" width="9.140625" style="1046"/>
    <col min="8960" max="8960" width="6.85546875" style="1046" customWidth="1"/>
    <col min="8961" max="8961" width="54.85546875" style="1046" customWidth="1"/>
    <col min="8962" max="8962" width="0" style="1046" hidden="1" customWidth="1"/>
    <col min="8963" max="8963" width="12.7109375" style="1046" customWidth="1"/>
    <col min="8964" max="8964" width="13.85546875" style="1046" customWidth="1"/>
    <col min="8965" max="8965" width="19.42578125" style="1046" customWidth="1"/>
    <col min="8966" max="8966" width="9.28515625" style="1046" customWidth="1"/>
    <col min="8967" max="8967" width="11.85546875" style="1046" customWidth="1"/>
    <col min="8968" max="8968" width="16.42578125" style="1046" customWidth="1"/>
    <col min="8969" max="8969" width="0" style="1046" hidden="1" customWidth="1"/>
    <col min="8970" max="8970" width="16.5703125" style="1046" customWidth="1"/>
    <col min="8971" max="8972" width="0" style="1046" hidden="1" customWidth="1"/>
    <col min="8973" max="8974" width="16.5703125" style="1046" customWidth="1"/>
    <col min="8975" max="8975" width="5.140625" style="1046" customWidth="1"/>
    <col min="8976" max="8976" width="16.5703125" style="1046" customWidth="1"/>
    <col min="8977" max="8977" width="5.140625" style="1046" customWidth="1"/>
    <col min="8978" max="8978" width="16.5703125" style="1046" customWidth="1"/>
    <col min="8979" max="8979" width="5.140625" style="1046" customWidth="1"/>
    <col min="8980" max="8980" width="16.5703125" style="1046" customWidth="1"/>
    <col min="8981" max="8981" width="5.140625" style="1046" customWidth="1"/>
    <col min="8982" max="8982" width="15.28515625" style="1046" customWidth="1"/>
    <col min="8983" max="8983" width="4.7109375" style="1046" customWidth="1"/>
    <col min="8984" max="8984" width="0" style="1046" hidden="1" customWidth="1"/>
    <col min="8985" max="8985" width="6.5703125" style="1046" customWidth="1"/>
    <col min="8986" max="8986" width="10.5703125" style="1046" customWidth="1"/>
    <col min="8987" max="8987" width="17.42578125" style="1046" customWidth="1"/>
    <col min="8988" max="8988" width="7.7109375" style="1046" customWidth="1"/>
    <col min="8989" max="8989" width="15.42578125" style="1046" customWidth="1"/>
    <col min="8990" max="8990" width="16.42578125" style="1046" customWidth="1"/>
    <col min="8991" max="8991" width="17.28515625" style="1046" customWidth="1"/>
    <col min="8992" max="8992" width="0" style="1046" hidden="1" customWidth="1"/>
    <col min="8993" max="8993" width="19" style="1046" customWidth="1"/>
    <col min="8994" max="8996" width="26" style="1046" customWidth="1"/>
    <col min="8997" max="8997" width="35.42578125" style="1046" customWidth="1"/>
    <col min="8998" max="8998" width="27.5703125" style="1046" customWidth="1"/>
    <col min="8999" max="8999" width="9.140625" style="1046"/>
    <col min="9000" max="9000" width="26.7109375" style="1046" customWidth="1"/>
    <col min="9001" max="9001" width="17.28515625" style="1046" customWidth="1"/>
    <col min="9002" max="9167" width="9.140625" style="1046"/>
    <col min="9168" max="9169" width="3" style="1046" customWidth="1"/>
    <col min="9170" max="9170" width="4.42578125" style="1046" bestFit="1" customWidth="1"/>
    <col min="9171" max="9171" width="59.140625" style="1046" customWidth="1"/>
    <col min="9172" max="9172" width="0" style="1046" hidden="1" customWidth="1"/>
    <col min="9173" max="9173" width="12.7109375" style="1046" customWidth="1"/>
    <col min="9174" max="9174" width="8.28515625" style="1046" customWidth="1"/>
    <col min="9175" max="9175" width="14.42578125" style="1046" customWidth="1"/>
    <col min="9176" max="9176" width="7.28515625" style="1046" customWidth="1"/>
    <col min="9177" max="9177" width="9.5703125" style="1046" customWidth="1"/>
    <col min="9178" max="9178" width="17" style="1046" customWidth="1"/>
    <col min="9179" max="9179" width="0" style="1046" hidden="1" customWidth="1"/>
    <col min="9180" max="9180" width="15.140625" style="1046" customWidth="1"/>
    <col min="9181" max="9181" width="13.85546875" style="1046" customWidth="1"/>
    <col min="9182" max="9182" width="4.42578125" style="1046" customWidth="1"/>
    <col min="9183" max="9183" width="12.28515625" style="1046" customWidth="1"/>
    <col min="9184" max="9184" width="6" style="1046" customWidth="1"/>
    <col min="9185" max="9185" width="19.85546875" style="1046" customWidth="1"/>
    <col min="9186" max="9186" width="5.140625" style="1046" customWidth="1"/>
    <col min="9187" max="9187" width="17.28515625" style="1046" bestFit="1" customWidth="1"/>
    <col min="9188" max="9189" width="0" style="1046" hidden="1" customWidth="1"/>
    <col min="9190" max="9190" width="5.85546875" style="1046" customWidth="1"/>
    <col min="9191" max="9191" width="10.42578125" style="1046" customWidth="1"/>
    <col min="9192" max="9192" width="15.42578125" style="1046" customWidth="1"/>
    <col min="9193" max="9193" width="11.85546875" style="1046" customWidth="1"/>
    <col min="9194" max="9194" width="16.42578125" style="1046" customWidth="1"/>
    <col min="9195" max="9195" width="17.28515625" style="1046" customWidth="1"/>
    <col min="9196" max="9196" width="19" style="1046" bestFit="1" customWidth="1"/>
    <col min="9197" max="9197" width="20" style="1046" customWidth="1"/>
    <col min="9198" max="9198" width="18.7109375" style="1046" bestFit="1" customWidth="1"/>
    <col min="9199" max="9199" width="17.85546875" style="1046" bestFit="1" customWidth="1"/>
    <col min="9200" max="9200" width="16.42578125" style="1046" bestFit="1" customWidth="1"/>
    <col min="9201" max="9215" width="9.140625" style="1046"/>
    <col min="9216" max="9216" width="6.85546875" style="1046" customWidth="1"/>
    <col min="9217" max="9217" width="54.85546875" style="1046" customWidth="1"/>
    <col min="9218" max="9218" width="0" style="1046" hidden="1" customWidth="1"/>
    <col min="9219" max="9219" width="12.7109375" style="1046" customWidth="1"/>
    <col min="9220" max="9220" width="13.85546875" style="1046" customWidth="1"/>
    <col min="9221" max="9221" width="19.42578125" style="1046" customWidth="1"/>
    <col min="9222" max="9222" width="9.28515625" style="1046" customWidth="1"/>
    <col min="9223" max="9223" width="11.85546875" style="1046" customWidth="1"/>
    <col min="9224" max="9224" width="16.42578125" style="1046" customWidth="1"/>
    <col min="9225" max="9225" width="0" style="1046" hidden="1" customWidth="1"/>
    <col min="9226" max="9226" width="16.5703125" style="1046" customWidth="1"/>
    <col min="9227" max="9228" width="0" style="1046" hidden="1" customWidth="1"/>
    <col min="9229" max="9230" width="16.5703125" style="1046" customWidth="1"/>
    <col min="9231" max="9231" width="5.140625" style="1046" customWidth="1"/>
    <col min="9232" max="9232" width="16.5703125" style="1046" customWidth="1"/>
    <col min="9233" max="9233" width="5.140625" style="1046" customWidth="1"/>
    <col min="9234" max="9234" width="16.5703125" style="1046" customWidth="1"/>
    <col min="9235" max="9235" width="5.140625" style="1046" customWidth="1"/>
    <col min="9236" max="9236" width="16.5703125" style="1046" customWidth="1"/>
    <col min="9237" max="9237" width="5.140625" style="1046" customWidth="1"/>
    <col min="9238" max="9238" width="15.28515625" style="1046" customWidth="1"/>
    <col min="9239" max="9239" width="4.7109375" style="1046" customWidth="1"/>
    <col min="9240" max="9240" width="0" style="1046" hidden="1" customWidth="1"/>
    <col min="9241" max="9241" width="6.5703125" style="1046" customWidth="1"/>
    <col min="9242" max="9242" width="10.5703125" style="1046" customWidth="1"/>
    <col min="9243" max="9243" width="17.42578125" style="1046" customWidth="1"/>
    <col min="9244" max="9244" width="7.7109375" style="1046" customWidth="1"/>
    <col min="9245" max="9245" width="15.42578125" style="1046" customWidth="1"/>
    <col min="9246" max="9246" width="16.42578125" style="1046" customWidth="1"/>
    <col min="9247" max="9247" width="17.28515625" style="1046" customWidth="1"/>
    <col min="9248" max="9248" width="0" style="1046" hidden="1" customWidth="1"/>
    <col min="9249" max="9249" width="19" style="1046" customWidth="1"/>
    <col min="9250" max="9252" width="26" style="1046" customWidth="1"/>
    <col min="9253" max="9253" width="35.42578125" style="1046" customWidth="1"/>
    <col min="9254" max="9254" width="27.5703125" style="1046" customWidth="1"/>
    <col min="9255" max="9255" width="9.140625" style="1046"/>
    <col min="9256" max="9256" width="26.7109375" style="1046" customWidth="1"/>
    <col min="9257" max="9257" width="17.28515625" style="1046" customWidth="1"/>
    <col min="9258" max="9423" width="9.140625" style="1046"/>
    <col min="9424" max="9425" width="3" style="1046" customWidth="1"/>
    <col min="9426" max="9426" width="4.42578125" style="1046" bestFit="1" customWidth="1"/>
    <col min="9427" max="9427" width="59.140625" style="1046" customWidth="1"/>
    <col min="9428" max="9428" width="0" style="1046" hidden="1" customWidth="1"/>
    <col min="9429" max="9429" width="12.7109375" style="1046" customWidth="1"/>
    <col min="9430" max="9430" width="8.28515625" style="1046" customWidth="1"/>
    <col min="9431" max="9431" width="14.42578125" style="1046" customWidth="1"/>
    <col min="9432" max="9432" width="7.28515625" style="1046" customWidth="1"/>
    <col min="9433" max="9433" width="9.5703125" style="1046" customWidth="1"/>
    <col min="9434" max="9434" width="17" style="1046" customWidth="1"/>
    <col min="9435" max="9435" width="0" style="1046" hidden="1" customWidth="1"/>
    <col min="9436" max="9436" width="15.140625" style="1046" customWidth="1"/>
    <col min="9437" max="9437" width="13.85546875" style="1046" customWidth="1"/>
    <col min="9438" max="9438" width="4.42578125" style="1046" customWidth="1"/>
    <col min="9439" max="9439" width="12.28515625" style="1046" customWidth="1"/>
    <col min="9440" max="9440" width="6" style="1046" customWidth="1"/>
    <col min="9441" max="9441" width="19.85546875" style="1046" customWidth="1"/>
    <col min="9442" max="9442" width="5.140625" style="1046" customWidth="1"/>
    <col min="9443" max="9443" width="17.28515625" style="1046" bestFit="1" customWidth="1"/>
    <col min="9444" max="9445" width="0" style="1046" hidden="1" customWidth="1"/>
    <col min="9446" max="9446" width="5.85546875" style="1046" customWidth="1"/>
    <col min="9447" max="9447" width="10.42578125" style="1046" customWidth="1"/>
    <col min="9448" max="9448" width="15.42578125" style="1046" customWidth="1"/>
    <col min="9449" max="9449" width="11.85546875" style="1046" customWidth="1"/>
    <col min="9450" max="9450" width="16.42578125" style="1046" customWidth="1"/>
    <col min="9451" max="9451" width="17.28515625" style="1046" customWidth="1"/>
    <col min="9452" max="9452" width="19" style="1046" bestFit="1" customWidth="1"/>
    <col min="9453" max="9453" width="20" style="1046" customWidth="1"/>
    <col min="9454" max="9454" width="18.7109375" style="1046" bestFit="1" customWidth="1"/>
    <col min="9455" max="9455" width="17.85546875" style="1046" bestFit="1" customWidth="1"/>
    <col min="9456" max="9456" width="16.42578125" style="1046" bestFit="1" customWidth="1"/>
    <col min="9457" max="9471" width="9.140625" style="1046"/>
    <col min="9472" max="9472" width="6.85546875" style="1046" customWidth="1"/>
    <col min="9473" max="9473" width="54.85546875" style="1046" customWidth="1"/>
    <col min="9474" max="9474" width="0" style="1046" hidden="1" customWidth="1"/>
    <col min="9475" max="9475" width="12.7109375" style="1046" customWidth="1"/>
    <col min="9476" max="9476" width="13.85546875" style="1046" customWidth="1"/>
    <col min="9477" max="9477" width="19.42578125" style="1046" customWidth="1"/>
    <col min="9478" max="9478" width="9.28515625" style="1046" customWidth="1"/>
    <col min="9479" max="9479" width="11.85546875" style="1046" customWidth="1"/>
    <col min="9480" max="9480" width="16.42578125" style="1046" customWidth="1"/>
    <col min="9481" max="9481" width="0" style="1046" hidden="1" customWidth="1"/>
    <col min="9482" max="9482" width="16.5703125" style="1046" customWidth="1"/>
    <col min="9483" max="9484" width="0" style="1046" hidden="1" customWidth="1"/>
    <col min="9485" max="9486" width="16.5703125" style="1046" customWidth="1"/>
    <col min="9487" max="9487" width="5.140625" style="1046" customWidth="1"/>
    <col min="9488" max="9488" width="16.5703125" style="1046" customWidth="1"/>
    <col min="9489" max="9489" width="5.140625" style="1046" customWidth="1"/>
    <col min="9490" max="9490" width="16.5703125" style="1046" customWidth="1"/>
    <col min="9491" max="9491" width="5.140625" style="1046" customWidth="1"/>
    <col min="9492" max="9492" width="16.5703125" style="1046" customWidth="1"/>
    <col min="9493" max="9493" width="5.140625" style="1046" customWidth="1"/>
    <col min="9494" max="9494" width="15.28515625" style="1046" customWidth="1"/>
    <col min="9495" max="9495" width="4.7109375" style="1046" customWidth="1"/>
    <col min="9496" max="9496" width="0" style="1046" hidden="1" customWidth="1"/>
    <col min="9497" max="9497" width="6.5703125" style="1046" customWidth="1"/>
    <col min="9498" max="9498" width="10.5703125" style="1046" customWidth="1"/>
    <col min="9499" max="9499" width="17.42578125" style="1046" customWidth="1"/>
    <col min="9500" max="9500" width="7.7109375" style="1046" customWidth="1"/>
    <col min="9501" max="9501" width="15.42578125" style="1046" customWidth="1"/>
    <col min="9502" max="9502" width="16.42578125" style="1046" customWidth="1"/>
    <col min="9503" max="9503" width="17.28515625" style="1046" customWidth="1"/>
    <col min="9504" max="9504" width="0" style="1046" hidden="1" customWidth="1"/>
    <col min="9505" max="9505" width="19" style="1046" customWidth="1"/>
    <col min="9506" max="9508" width="26" style="1046" customWidth="1"/>
    <col min="9509" max="9509" width="35.42578125" style="1046" customWidth="1"/>
    <col min="9510" max="9510" width="27.5703125" style="1046" customWidth="1"/>
    <col min="9511" max="9511" width="9.140625" style="1046"/>
    <col min="9512" max="9512" width="26.7109375" style="1046" customWidth="1"/>
    <col min="9513" max="9513" width="17.28515625" style="1046" customWidth="1"/>
    <col min="9514" max="9679" width="9.140625" style="1046"/>
    <col min="9680" max="9681" width="3" style="1046" customWidth="1"/>
    <col min="9682" max="9682" width="4.42578125" style="1046" bestFit="1" customWidth="1"/>
    <col min="9683" max="9683" width="59.140625" style="1046" customWidth="1"/>
    <col min="9684" max="9684" width="0" style="1046" hidden="1" customWidth="1"/>
    <col min="9685" max="9685" width="12.7109375" style="1046" customWidth="1"/>
    <col min="9686" max="9686" width="8.28515625" style="1046" customWidth="1"/>
    <col min="9687" max="9687" width="14.42578125" style="1046" customWidth="1"/>
    <col min="9688" max="9688" width="7.28515625" style="1046" customWidth="1"/>
    <col min="9689" max="9689" width="9.5703125" style="1046" customWidth="1"/>
    <col min="9690" max="9690" width="17" style="1046" customWidth="1"/>
    <col min="9691" max="9691" width="0" style="1046" hidden="1" customWidth="1"/>
    <col min="9692" max="9692" width="15.140625" style="1046" customWidth="1"/>
    <col min="9693" max="9693" width="13.85546875" style="1046" customWidth="1"/>
    <col min="9694" max="9694" width="4.42578125" style="1046" customWidth="1"/>
    <col min="9695" max="9695" width="12.28515625" style="1046" customWidth="1"/>
    <col min="9696" max="9696" width="6" style="1046" customWidth="1"/>
    <col min="9697" max="9697" width="19.85546875" style="1046" customWidth="1"/>
    <col min="9698" max="9698" width="5.140625" style="1046" customWidth="1"/>
    <col min="9699" max="9699" width="17.28515625" style="1046" bestFit="1" customWidth="1"/>
    <col min="9700" max="9701" width="0" style="1046" hidden="1" customWidth="1"/>
    <col min="9702" max="9702" width="5.85546875" style="1046" customWidth="1"/>
    <col min="9703" max="9703" width="10.42578125" style="1046" customWidth="1"/>
    <col min="9704" max="9704" width="15.42578125" style="1046" customWidth="1"/>
    <col min="9705" max="9705" width="11.85546875" style="1046" customWidth="1"/>
    <col min="9706" max="9706" width="16.42578125" style="1046" customWidth="1"/>
    <col min="9707" max="9707" width="17.28515625" style="1046" customWidth="1"/>
    <col min="9708" max="9708" width="19" style="1046" bestFit="1" customWidth="1"/>
    <col min="9709" max="9709" width="20" style="1046" customWidth="1"/>
    <col min="9710" max="9710" width="18.7109375" style="1046" bestFit="1" customWidth="1"/>
    <col min="9711" max="9711" width="17.85546875" style="1046" bestFit="1" customWidth="1"/>
    <col min="9712" max="9712" width="16.42578125" style="1046" bestFit="1" customWidth="1"/>
    <col min="9713" max="9727" width="9.140625" style="1046"/>
    <col min="9728" max="9728" width="6.85546875" style="1046" customWidth="1"/>
    <col min="9729" max="9729" width="54.85546875" style="1046" customWidth="1"/>
    <col min="9730" max="9730" width="0" style="1046" hidden="1" customWidth="1"/>
    <col min="9731" max="9731" width="12.7109375" style="1046" customWidth="1"/>
    <col min="9732" max="9732" width="13.85546875" style="1046" customWidth="1"/>
    <col min="9733" max="9733" width="19.42578125" style="1046" customWidth="1"/>
    <col min="9734" max="9734" width="9.28515625" style="1046" customWidth="1"/>
    <col min="9735" max="9735" width="11.85546875" style="1046" customWidth="1"/>
    <col min="9736" max="9736" width="16.42578125" style="1046" customWidth="1"/>
    <col min="9737" max="9737" width="0" style="1046" hidden="1" customWidth="1"/>
    <col min="9738" max="9738" width="16.5703125" style="1046" customWidth="1"/>
    <col min="9739" max="9740" width="0" style="1046" hidden="1" customWidth="1"/>
    <col min="9741" max="9742" width="16.5703125" style="1046" customWidth="1"/>
    <col min="9743" max="9743" width="5.140625" style="1046" customWidth="1"/>
    <col min="9744" max="9744" width="16.5703125" style="1046" customWidth="1"/>
    <col min="9745" max="9745" width="5.140625" style="1046" customWidth="1"/>
    <col min="9746" max="9746" width="16.5703125" style="1046" customWidth="1"/>
    <col min="9747" max="9747" width="5.140625" style="1046" customWidth="1"/>
    <col min="9748" max="9748" width="16.5703125" style="1046" customWidth="1"/>
    <col min="9749" max="9749" width="5.140625" style="1046" customWidth="1"/>
    <col min="9750" max="9750" width="15.28515625" style="1046" customWidth="1"/>
    <col min="9751" max="9751" width="4.7109375" style="1046" customWidth="1"/>
    <col min="9752" max="9752" width="0" style="1046" hidden="1" customWidth="1"/>
    <col min="9753" max="9753" width="6.5703125" style="1046" customWidth="1"/>
    <col min="9754" max="9754" width="10.5703125" style="1046" customWidth="1"/>
    <col min="9755" max="9755" width="17.42578125" style="1046" customWidth="1"/>
    <col min="9756" max="9756" width="7.7109375" style="1046" customWidth="1"/>
    <col min="9757" max="9757" width="15.42578125" style="1046" customWidth="1"/>
    <col min="9758" max="9758" width="16.42578125" style="1046" customWidth="1"/>
    <col min="9759" max="9759" width="17.28515625" style="1046" customWidth="1"/>
    <col min="9760" max="9760" width="0" style="1046" hidden="1" customWidth="1"/>
    <col min="9761" max="9761" width="19" style="1046" customWidth="1"/>
    <col min="9762" max="9764" width="26" style="1046" customWidth="1"/>
    <col min="9765" max="9765" width="35.42578125" style="1046" customWidth="1"/>
    <col min="9766" max="9766" width="27.5703125" style="1046" customWidth="1"/>
    <col min="9767" max="9767" width="9.140625" style="1046"/>
    <col min="9768" max="9768" width="26.7109375" style="1046" customWidth="1"/>
    <col min="9769" max="9769" width="17.28515625" style="1046" customWidth="1"/>
    <col min="9770" max="9935" width="9.140625" style="1046"/>
    <col min="9936" max="9937" width="3" style="1046" customWidth="1"/>
    <col min="9938" max="9938" width="4.42578125" style="1046" bestFit="1" customWidth="1"/>
    <col min="9939" max="9939" width="59.140625" style="1046" customWidth="1"/>
    <col min="9940" max="9940" width="0" style="1046" hidden="1" customWidth="1"/>
    <col min="9941" max="9941" width="12.7109375" style="1046" customWidth="1"/>
    <col min="9942" max="9942" width="8.28515625" style="1046" customWidth="1"/>
    <col min="9943" max="9943" width="14.42578125" style="1046" customWidth="1"/>
    <col min="9944" max="9944" width="7.28515625" style="1046" customWidth="1"/>
    <col min="9945" max="9945" width="9.5703125" style="1046" customWidth="1"/>
    <col min="9946" max="9946" width="17" style="1046" customWidth="1"/>
    <col min="9947" max="9947" width="0" style="1046" hidden="1" customWidth="1"/>
    <col min="9948" max="9948" width="15.140625" style="1046" customWidth="1"/>
    <col min="9949" max="9949" width="13.85546875" style="1046" customWidth="1"/>
    <col min="9950" max="9950" width="4.42578125" style="1046" customWidth="1"/>
    <col min="9951" max="9951" width="12.28515625" style="1046" customWidth="1"/>
    <col min="9952" max="9952" width="6" style="1046" customWidth="1"/>
    <col min="9953" max="9953" width="19.85546875" style="1046" customWidth="1"/>
    <col min="9954" max="9954" width="5.140625" style="1046" customWidth="1"/>
    <col min="9955" max="9955" width="17.28515625" style="1046" bestFit="1" customWidth="1"/>
    <col min="9956" max="9957" width="0" style="1046" hidden="1" customWidth="1"/>
    <col min="9958" max="9958" width="5.85546875" style="1046" customWidth="1"/>
    <col min="9959" max="9959" width="10.42578125" style="1046" customWidth="1"/>
    <col min="9960" max="9960" width="15.42578125" style="1046" customWidth="1"/>
    <col min="9961" max="9961" width="11.85546875" style="1046" customWidth="1"/>
    <col min="9962" max="9962" width="16.42578125" style="1046" customWidth="1"/>
    <col min="9963" max="9963" width="17.28515625" style="1046" customWidth="1"/>
    <col min="9964" max="9964" width="19" style="1046" bestFit="1" customWidth="1"/>
    <col min="9965" max="9965" width="20" style="1046" customWidth="1"/>
    <col min="9966" max="9966" width="18.7109375" style="1046" bestFit="1" customWidth="1"/>
    <col min="9967" max="9967" width="17.85546875" style="1046" bestFit="1" customWidth="1"/>
    <col min="9968" max="9968" width="16.42578125" style="1046" bestFit="1" customWidth="1"/>
    <col min="9969" max="9983" width="9.140625" style="1046"/>
    <col min="9984" max="9984" width="6.85546875" style="1046" customWidth="1"/>
    <col min="9985" max="9985" width="54.85546875" style="1046" customWidth="1"/>
    <col min="9986" max="9986" width="0" style="1046" hidden="1" customWidth="1"/>
    <col min="9987" max="9987" width="12.7109375" style="1046" customWidth="1"/>
    <col min="9988" max="9988" width="13.85546875" style="1046" customWidth="1"/>
    <col min="9989" max="9989" width="19.42578125" style="1046" customWidth="1"/>
    <col min="9990" max="9990" width="9.28515625" style="1046" customWidth="1"/>
    <col min="9991" max="9991" width="11.85546875" style="1046" customWidth="1"/>
    <col min="9992" max="9992" width="16.42578125" style="1046" customWidth="1"/>
    <col min="9993" max="9993" width="0" style="1046" hidden="1" customWidth="1"/>
    <col min="9994" max="9994" width="16.5703125" style="1046" customWidth="1"/>
    <col min="9995" max="9996" width="0" style="1046" hidden="1" customWidth="1"/>
    <col min="9997" max="9998" width="16.5703125" style="1046" customWidth="1"/>
    <col min="9999" max="9999" width="5.140625" style="1046" customWidth="1"/>
    <col min="10000" max="10000" width="16.5703125" style="1046" customWidth="1"/>
    <col min="10001" max="10001" width="5.140625" style="1046" customWidth="1"/>
    <col min="10002" max="10002" width="16.5703125" style="1046" customWidth="1"/>
    <col min="10003" max="10003" width="5.140625" style="1046" customWidth="1"/>
    <col min="10004" max="10004" width="16.5703125" style="1046" customWidth="1"/>
    <col min="10005" max="10005" width="5.140625" style="1046" customWidth="1"/>
    <col min="10006" max="10006" width="15.28515625" style="1046" customWidth="1"/>
    <col min="10007" max="10007" width="4.7109375" style="1046" customWidth="1"/>
    <col min="10008" max="10008" width="0" style="1046" hidden="1" customWidth="1"/>
    <col min="10009" max="10009" width="6.5703125" style="1046" customWidth="1"/>
    <col min="10010" max="10010" width="10.5703125" style="1046" customWidth="1"/>
    <col min="10011" max="10011" width="17.42578125" style="1046" customWidth="1"/>
    <col min="10012" max="10012" width="7.7109375" style="1046" customWidth="1"/>
    <col min="10013" max="10013" width="15.42578125" style="1046" customWidth="1"/>
    <col min="10014" max="10014" width="16.42578125" style="1046" customWidth="1"/>
    <col min="10015" max="10015" width="17.28515625" style="1046" customWidth="1"/>
    <col min="10016" max="10016" width="0" style="1046" hidden="1" customWidth="1"/>
    <col min="10017" max="10017" width="19" style="1046" customWidth="1"/>
    <col min="10018" max="10020" width="26" style="1046" customWidth="1"/>
    <col min="10021" max="10021" width="35.42578125" style="1046" customWidth="1"/>
    <col min="10022" max="10022" width="27.5703125" style="1046" customWidth="1"/>
    <col min="10023" max="10023" width="9.140625" style="1046"/>
    <col min="10024" max="10024" width="26.7109375" style="1046" customWidth="1"/>
    <col min="10025" max="10025" width="17.28515625" style="1046" customWidth="1"/>
    <col min="10026" max="10191" width="9.140625" style="1046"/>
    <col min="10192" max="10193" width="3" style="1046" customWidth="1"/>
    <col min="10194" max="10194" width="4.42578125" style="1046" bestFit="1" customWidth="1"/>
    <col min="10195" max="10195" width="59.140625" style="1046" customWidth="1"/>
    <col min="10196" max="10196" width="0" style="1046" hidden="1" customWidth="1"/>
    <col min="10197" max="10197" width="12.7109375" style="1046" customWidth="1"/>
    <col min="10198" max="10198" width="8.28515625" style="1046" customWidth="1"/>
    <col min="10199" max="10199" width="14.42578125" style="1046" customWidth="1"/>
    <col min="10200" max="10200" width="7.28515625" style="1046" customWidth="1"/>
    <col min="10201" max="10201" width="9.5703125" style="1046" customWidth="1"/>
    <col min="10202" max="10202" width="17" style="1046" customWidth="1"/>
    <col min="10203" max="10203" width="0" style="1046" hidden="1" customWidth="1"/>
    <col min="10204" max="10204" width="15.140625" style="1046" customWidth="1"/>
    <col min="10205" max="10205" width="13.85546875" style="1046" customWidth="1"/>
    <col min="10206" max="10206" width="4.42578125" style="1046" customWidth="1"/>
    <col min="10207" max="10207" width="12.28515625" style="1046" customWidth="1"/>
    <col min="10208" max="10208" width="6" style="1046" customWidth="1"/>
    <col min="10209" max="10209" width="19.85546875" style="1046" customWidth="1"/>
    <col min="10210" max="10210" width="5.140625" style="1046" customWidth="1"/>
    <col min="10211" max="10211" width="17.28515625" style="1046" bestFit="1" customWidth="1"/>
    <col min="10212" max="10213" width="0" style="1046" hidden="1" customWidth="1"/>
    <col min="10214" max="10214" width="5.85546875" style="1046" customWidth="1"/>
    <col min="10215" max="10215" width="10.42578125" style="1046" customWidth="1"/>
    <col min="10216" max="10216" width="15.42578125" style="1046" customWidth="1"/>
    <col min="10217" max="10217" width="11.85546875" style="1046" customWidth="1"/>
    <col min="10218" max="10218" width="16.42578125" style="1046" customWidth="1"/>
    <col min="10219" max="10219" width="17.28515625" style="1046" customWidth="1"/>
    <col min="10220" max="10220" width="19" style="1046" bestFit="1" customWidth="1"/>
    <col min="10221" max="10221" width="20" style="1046" customWidth="1"/>
    <col min="10222" max="10222" width="18.7109375" style="1046" bestFit="1" customWidth="1"/>
    <col min="10223" max="10223" width="17.85546875" style="1046" bestFit="1" customWidth="1"/>
    <col min="10224" max="10224" width="16.42578125" style="1046" bestFit="1" customWidth="1"/>
    <col min="10225" max="10239" width="9.140625" style="1046"/>
    <col min="10240" max="10240" width="6.85546875" style="1046" customWidth="1"/>
    <col min="10241" max="10241" width="54.85546875" style="1046" customWidth="1"/>
    <col min="10242" max="10242" width="0" style="1046" hidden="1" customWidth="1"/>
    <col min="10243" max="10243" width="12.7109375" style="1046" customWidth="1"/>
    <col min="10244" max="10244" width="13.85546875" style="1046" customWidth="1"/>
    <col min="10245" max="10245" width="19.42578125" style="1046" customWidth="1"/>
    <col min="10246" max="10246" width="9.28515625" style="1046" customWidth="1"/>
    <col min="10247" max="10247" width="11.85546875" style="1046" customWidth="1"/>
    <col min="10248" max="10248" width="16.42578125" style="1046" customWidth="1"/>
    <col min="10249" max="10249" width="0" style="1046" hidden="1" customWidth="1"/>
    <col min="10250" max="10250" width="16.5703125" style="1046" customWidth="1"/>
    <col min="10251" max="10252" width="0" style="1046" hidden="1" customWidth="1"/>
    <col min="10253" max="10254" width="16.5703125" style="1046" customWidth="1"/>
    <col min="10255" max="10255" width="5.140625" style="1046" customWidth="1"/>
    <col min="10256" max="10256" width="16.5703125" style="1046" customWidth="1"/>
    <col min="10257" max="10257" width="5.140625" style="1046" customWidth="1"/>
    <col min="10258" max="10258" width="16.5703125" style="1046" customWidth="1"/>
    <col min="10259" max="10259" width="5.140625" style="1046" customWidth="1"/>
    <col min="10260" max="10260" width="16.5703125" style="1046" customWidth="1"/>
    <col min="10261" max="10261" width="5.140625" style="1046" customWidth="1"/>
    <col min="10262" max="10262" width="15.28515625" style="1046" customWidth="1"/>
    <col min="10263" max="10263" width="4.7109375" style="1046" customWidth="1"/>
    <col min="10264" max="10264" width="0" style="1046" hidden="1" customWidth="1"/>
    <col min="10265" max="10265" width="6.5703125" style="1046" customWidth="1"/>
    <col min="10266" max="10266" width="10.5703125" style="1046" customWidth="1"/>
    <col min="10267" max="10267" width="17.42578125" style="1046" customWidth="1"/>
    <col min="10268" max="10268" width="7.7109375" style="1046" customWidth="1"/>
    <col min="10269" max="10269" width="15.42578125" style="1046" customWidth="1"/>
    <col min="10270" max="10270" width="16.42578125" style="1046" customWidth="1"/>
    <col min="10271" max="10271" width="17.28515625" style="1046" customWidth="1"/>
    <col min="10272" max="10272" width="0" style="1046" hidden="1" customWidth="1"/>
    <col min="10273" max="10273" width="19" style="1046" customWidth="1"/>
    <col min="10274" max="10276" width="26" style="1046" customWidth="1"/>
    <col min="10277" max="10277" width="35.42578125" style="1046" customWidth="1"/>
    <col min="10278" max="10278" width="27.5703125" style="1046" customWidth="1"/>
    <col min="10279" max="10279" width="9.140625" style="1046"/>
    <col min="10280" max="10280" width="26.7109375" style="1046" customWidth="1"/>
    <col min="10281" max="10281" width="17.28515625" style="1046" customWidth="1"/>
    <col min="10282" max="10447" width="9.140625" style="1046"/>
    <col min="10448" max="10449" width="3" style="1046" customWidth="1"/>
    <col min="10450" max="10450" width="4.42578125" style="1046" bestFit="1" customWidth="1"/>
    <col min="10451" max="10451" width="59.140625" style="1046" customWidth="1"/>
    <col min="10452" max="10452" width="0" style="1046" hidden="1" customWidth="1"/>
    <col min="10453" max="10453" width="12.7109375" style="1046" customWidth="1"/>
    <col min="10454" max="10454" width="8.28515625" style="1046" customWidth="1"/>
    <col min="10455" max="10455" width="14.42578125" style="1046" customWidth="1"/>
    <col min="10456" max="10456" width="7.28515625" style="1046" customWidth="1"/>
    <col min="10457" max="10457" width="9.5703125" style="1046" customWidth="1"/>
    <col min="10458" max="10458" width="17" style="1046" customWidth="1"/>
    <col min="10459" max="10459" width="0" style="1046" hidden="1" customWidth="1"/>
    <col min="10460" max="10460" width="15.140625" style="1046" customWidth="1"/>
    <col min="10461" max="10461" width="13.85546875" style="1046" customWidth="1"/>
    <col min="10462" max="10462" width="4.42578125" style="1046" customWidth="1"/>
    <col min="10463" max="10463" width="12.28515625" style="1046" customWidth="1"/>
    <col min="10464" max="10464" width="6" style="1046" customWidth="1"/>
    <col min="10465" max="10465" width="19.85546875" style="1046" customWidth="1"/>
    <col min="10466" max="10466" width="5.140625" style="1046" customWidth="1"/>
    <col min="10467" max="10467" width="17.28515625" style="1046" bestFit="1" customWidth="1"/>
    <col min="10468" max="10469" width="0" style="1046" hidden="1" customWidth="1"/>
    <col min="10470" max="10470" width="5.85546875" style="1046" customWidth="1"/>
    <col min="10471" max="10471" width="10.42578125" style="1046" customWidth="1"/>
    <col min="10472" max="10472" width="15.42578125" style="1046" customWidth="1"/>
    <col min="10473" max="10473" width="11.85546875" style="1046" customWidth="1"/>
    <col min="10474" max="10474" width="16.42578125" style="1046" customWidth="1"/>
    <col min="10475" max="10475" width="17.28515625" style="1046" customWidth="1"/>
    <col min="10476" max="10476" width="19" style="1046" bestFit="1" customWidth="1"/>
    <col min="10477" max="10477" width="20" style="1046" customWidth="1"/>
    <col min="10478" max="10478" width="18.7109375" style="1046" bestFit="1" customWidth="1"/>
    <col min="10479" max="10479" width="17.85546875" style="1046" bestFit="1" customWidth="1"/>
    <col min="10480" max="10480" width="16.42578125" style="1046" bestFit="1" customWidth="1"/>
    <col min="10481" max="10495" width="9.140625" style="1046"/>
    <col min="10496" max="10496" width="6.85546875" style="1046" customWidth="1"/>
    <col min="10497" max="10497" width="54.85546875" style="1046" customWidth="1"/>
    <col min="10498" max="10498" width="0" style="1046" hidden="1" customWidth="1"/>
    <col min="10499" max="10499" width="12.7109375" style="1046" customWidth="1"/>
    <col min="10500" max="10500" width="13.85546875" style="1046" customWidth="1"/>
    <col min="10501" max="10501" width="19.42578125" style="1046" customWidth="1"/>
    <col min="10502" max="10502" width="9.28515625" style="1046" customWidth="1"/>
    <col min="10503" max="10503" width="11.85546875" style="1046" customWidth="1"/>
    <col min="10504" max="10504" width="16.42578125" style="1046" customWidth="1"/>
    <col min="10505" max="10505" width="0" style="1046" hidden="1" customWidth="1"/>
    <col min="10506" max="10506" width="16.5703125" style="1046" customWidth="1"/>
    <col min="10507" max="10508" width="0" style="1046" hidden="1" customWidth="1"/>
    <col min="10509" max="10510" width="16.5703125" style="1046" customWidth="1"/>
    <col min="10511" max="10511" width="5.140625" style="1046" customWidth="1"/>
    <col min="10512" max="10512" width="16.5703125" style="1046" customWidth="1"/>
    <col min="10513" max="10513" width="5.140625" style="1046" customWidth="1"/>
    <col min="10514" max="10514" width="16.5703125" style="1046" customWidth="1"/>
    <col min="10515" max="10515" width="5.140625" style="1046" customWidth="1"/>
    <col min="10516" max="10516" width="16.5703125" style="1046" customWidth="1"/>
    <col min="10517" max="10517" width="5.140625" style="1046" customWidth="1"/>
    <col min="10518" max="10518" width="15.28515625" style="1046" customWidth="1"/>
    <col min="10519" max="10519" width="4.7109375" style="1046" customWidth="1"/>
    <col min="10520" max="10520" width="0" style="1046" hidden="1" customWidth="1"/>
    <col min="10521" max="10521" width="6.5703125" style="1046" customWidth="1"/>
    <col min="10522" max="10522" width="10.5703125" style="1046" customWidth="1"/>
    <col min="10523" max="10523" width="17.42578125" style="1046" customWidth="1"/>
    <col min="10524" max="10524" width="7.7109375" style="1046" customWidth="1"/>
    <col min="10525" max="10525" width="15.42578125" style="1046" customWidth="1"/>
    <col min="10526" max="10526" width="16.42578125" style="1046" customWidth="1"/>
    <col min="10527" max="10527" width="17.28515625" style="1046" customWidth="1"/>
    <col min="10528" max="10528" width="0" style="1046" hidden="1" customWidth="1"/>
    <col min="10529" max="10529" width="19" style="1046" customWidth="1"/>
    <col min="10530" max="10532" width="26" style="1046" customWidth="1"/>
    <col min="10533" max="10533" width="35.42578125" style="1046" customWidth="1"/>
    <col min="10534" max="10534" width="27.5703125" style="1046" customWidth="1"/>
    <col min="10535" max="10535" width="9.140625" style="1046"/>
    <col min="10536" max="10536" width="26.7109375" style="1046" customWidth="1"/>
    <col min="10537" max="10537" width="17.28515625" style="1046" customWidth="1"/>
    <col min="10538" max="10703" width="9.140625" style="1046"/>
    <col min="10704" max="10705" width="3" style="1046" customWidth="1"/>
    <col min="10706" max="10706" width="4.42578125" style="1046" bestFit="1" customWidth="1"/>
    <col min="10707" max="10707" width="59.140625" style="1046" customWidth="1"/>
    <col min="10708" max="10708" width="0" style="1046" hidden="1" customWidth="1"/>
    <col min="10709" max="10709" width="12.7109375" style="1046" customWidth="1"/>
    <col min="10710" max="10710" width="8.28515625" style="1046" customWidth="1"/>
    <col min="10711" max="10711" width="14.42578125" style="1046" customWidth="1"/>
    <col min="10712" max="10712" width="7.28515625" style="1046" customWidth="1"/>
    <col min="10713" max="10713" width="9.5703125" style="1046" customWidth="1"/>
    <col min="10714" max="10714" width="17" style="1046" customWidth="1"/>
    <col min="10715" max="10715" width="0" style="1046" hidden="1" customWidth="1"/>
    <col min="10716" max="10716" width="15.140625" style="1046" customWidth="1"/>
    <col min="10717" max="10717" width="13.85546875" style="1046" customWidth="1"/>
    <col min="10718" max="10718" width="4.42578125" style="1046" customWidth="1"/>
    <col min="10719" max="10719" width="12.28515625" style="1046" customWidth="1"/>
    <col min="10720" max="10720" width="6" style="1046" customWidth="1"/>
    <col min="10721" max="10721" width="19.85546875" style="1046" customWidth="1"/>
    <col min="10722" max="10722" width="5.140625" style="1046" customWidth="1"/>
    <col min="10723" max="10723" width="17.28515625" style="1046" bestFit="1" customWidth="1"/>
    <col min="10724" max="10725" width="0" style="1046" hidden="1" customWidth="1"/>
    <col min="10726" max="10726" width="5.85546875" style="1046" customWidth="1"/>
    <col min="10727" max="10727" width="10.42578125" style="1046" customWidth="1"/>
    <col min="10728" max="10728" width="15.42578125" style="1046" customWidth="1"/>
    <col min="10729" max="10729" width="11.85546875" style="1046" customWidth="1"/>
    <col min="10730" max="10730" width="16.42578125" style="1046" customWidth="1"/>
    <col min="10731" max="10731" width="17.28515625" style="1046" customWidth="1"/>
    <col min="10732" max="10732" width="19" style="1046" bestFit="1" customWidth="1"/>
    <col min="10733" max="10733" width="20" style="1046" customWidth="1"/>
    <col min="10734" max="10734" width="18.7109375" style="1046" bestFit="1" customWidth="1"/>
    <col min="10735" max="10735" width="17.85546875" style="1046" bestFit="1" customWidth="1"/>
    <col min="10736" max="10736" width="16.42578125" style="1046" bestFit="1" customWidth="1"/>
    <col min="10737" max="10751" width="9.140625" style="1046"/>
    <col min="10752" max="10752" width="6.85546875" style="1046" customWidth="1"/>
    <col min="10753" max="10753" width="54.85546875" style="1046" customWidth="1"/>
    <col min="10754" max="10754" width="0" style="1046" hidden="1" customWidth="1"/>
    <col min="10755" max="10755" width="12.7109375" style="1046" customWidth="1"/>
    <col min="10756" max="10756" width="13.85546875" style="1046" customWidth="1"/>
    <col min="10757" max="10757" width="19.42578125" style="1046" customWidth="1"/>
    <col min="10758" max="10758" width="9.28515625" style="1046" customWidth="1"/>
    <col min="10759" max="10759" width="11.85546875" style="1046" customWidth="1"/>
    <col min="10760" max="10760" width="16.42578125" style="1046" customWidth="1"/>
    <col min="10761" max="10761" width="0" style="1046" hidden="1" customWidth="1"/>
    <col min="10762" max="10762" width="16.5703125" style="1046" customWidth="1"/>
    <col min="10763" max="10764" width="0" style="1046" hidden="1" customWidth="1"/>
    <col min="10765" max="10766" width="16.5703125" style="1046" customWidth="1"/>
    <col min="10767" max="10767" width="5.140625" style="1046" customWidth="1"/>
    <col min="10768" max="10768" width="16.5703125" style="1046" customWidth="1"/>
    <col min="10769" max="10769" width="5.140625" style="1046" customWidth="1"/>
    <col min="10770" max="10770" width="16.5703125" style="1046" customWidth="1"/>
    <col min="10771" max="10771" width="5.140625" style="1046" customWidth="1"/>
    <col min="10772" max="10772" width="16.5703125" style="1046" customWidth="1"/>
    <col min="10773" max="10773" width="5.140625" style="1046" customWidth="1"/>
    <col min="10774" max="10774" width="15.28515625" style="1046" customWidth="1"/>
    <col min="10775" max="10775" width="4.7109375" style="1046" customWidth="1"/>
    <col min="10776" max="10776" width="0" style="1046" hidden="1" customWidth="1"/>
    <col min="10777" max="10777" width="6.5703125" style="1046" customWidth="1"/>
    <col min="10778" max="10778" width="10.5703125" style="1046" customWidth="1"/>
    <col min="10779" max="10779" width="17.42578125" style="1046" customWidth="1"/>
    <col min="10780" max="10780" width="7.7109375" style="1046" customWidth="1"/>
    <col min="10781" max="10781" width="15.42578125" style="1046" customWidth="1"/>
    <col min="10782" max="10782" width="16.42578125" style="1046" customWidth="1"/>
    <col min="10783" max="10783" width="17.28515625" style="1046" customWidth="1"/>
    <col min="10784" max="10784" width="0" style="1046" hidden="1" customWidth="1"/>
    <col min="10785" max="10785" width="19" style="1046" customWidth="1"/>
    <col min="10786" max="10788" width="26" style="1046" customWidth="1"/>
    <col min="10789" max="10789" width="35.42578125" style="1046" customWidth="1"/>
    <col min="10790" max="10790" width="27.5703125" style="1046" customWidth="1"/>
    <col min="10791" max="10791" width="9.140625" style="1046"/>
    <col min="10792" max="10792" width="26.7109375" style="1046" customWidth="1"/>
    <col min="10793" max="10793" width="17.28515625" style="1046" customWidth="1"/>
    <col min="10794" max="10959" width="9.140625" style="1046"/>
    <col min="10960" max="10961" width="3" style="1046" customWidth="1"/>
    <col min="10962" max="10962" width="4.42578125" style="1046" bestFit="1" customWidth="1"/>
    <col min="10963" max="10963" width="59.140625" style="1046" customWidth="1"/>
    <col min="10964" max="10964" width="0" style="1046" hidden="1" customWidth="1"/>
    <col min="10965" max="10965" width="12.7109375" style="1046" customWidth="1"/>
    <col min="10966" max="10966" width="8.28515625" style="1046" customWidth="1"/>
    <col min="10967" max="10967" width="14.42578125" style="1046" customWidth="1"/>
    <col min="10968" max="10968" width="7.28515625" style="1046" customWidth="1"/>
    <col min="10969" max="10969" width="9.5703125" style="1046" customWidth="1"/>
    <col min="10970" max="10970" width="17" style="1046" customWidth="1"/>
    <col min="10971" max="10971" width="0" style="1046" hidden="1" customWidth="1"/>
    <col min="10972" max="10972" width="15.140625" style="1046" customWidth="1"/>
    <col min="10973" max="10973" width="13.85546875" style="1046" customWidth="1"/>
    <col min="10974" max="10974" width="4.42578125" style="1046" customWidth="1"/>
    <col min="10975" max="10975" width="12.28515625" style="1046" customWidth="1"/>
    <col min="10976" max="10976" width="6" style="1046" customWidth="1"/>
    <col min="10977" max="10977" width="19.85546875" style="1046" customWidth="1"/>
    <col min="10978" max="10978" width="5.140625" style="1046" customWidth="1"/>
    <col min="10979" max="10979" width="17.28515625" style="1046" bestFit="1" customWidth="1"/>
    <col min="10980" max="10981" width="0" style="1046" hidden="1" customWidth="1"/>
    <col min="10982" max="10982" width="5.85546875" style="1046" customWidth="1"/>
    <col min="10983" max="10983" width="10.42578125" style="1046" customWidth="1"/>
    <col min="10984" max="10984" width="15.42578125" style="1046" customWidth="1"/>
    <col min="10985" max="10985" width="11.85546875" style="1046" customWidth="1"/>
    <col min="10986" max="10986" width="16.42578125" style="1046" customWidth="1"/>
    <col min="10987" max="10987" width="17.28515625" style="1046" customWidth="1"/>
    <col min="10988" max="10988" width="19" style="1046" bestFit="1" customWidth="1"/>
    <col min="10989" max="10989" width="20" style="1046" customWidth="1"/>
    <col min="10990" max="10990" width="18.7109375" style="1046" bestFit="1" customWidth="1"/>
    <col min="10991" max="10991" width="17.85546875" style="1046" bestFit="1" customWidth="1"/>
    <col min="10992" max="10992" width="16.42578125" style="1046" bestFit="1" customWidth="1"/>
    <col min="10993" max="11007" width="9.140625" style="1046"/>
    <col min="11008" max="11008" width="6.85546875" style="1046" customWidth="1"/>
    <col min="11009" max="11009" width="54.85546875" style="1046" customWidth="1"/>
    <col min="11010" max="11010" width="0" style="1046" hidden="1" customWidth="1"/>
    <col min="11011" max="11011" width="12.7109375" style="1046" customWidth="1"/>
    <col min="11012" max="11012" width="13.85546875" style="1046" customWidth="1"/>
    <col min="11013" max="11013" width="19.42578125" style="1046" customWidth="1"/>
    <col min="11014" max="11014" width="9.28515625" style="1046" customWidth="1"/>
    <col min="11015" max="11015" width="11.85546875" style="1046" customWidth="1"/>
    <col min="11016" max="11016" width="16.42578125" style="1046" customWidth="1"/>
    <col min="11017" max="11017" width="0" style="1046" hidden="1" customWidth="1"/>
    <col min="11018" max="11018" width="16.5703125" style="1046" customWidth="1"/>
    <col min="11019" max="11020" width="0" style="1046" hidden="1" customWidth="1"/>
    <col min="11021" max="11022" width="16.5703125" style="1046" customWidth="1"/>
    <col min="11023" max="11023" width="5.140625" style="1046" customWidth="1"/>
    <col min="11024" max="11024" width="16.5703125" style="1046" customWidth="1"/>
    <col min="11025" max="11025" width="5.140625" style="1046" customWidth="1"/>
    <col min="11026" max="11026" width="16.5703125" style="1046" customWidth="1"/>
    <col min="11027" max="11027" width="5.140625" style="1046" customWidth="1"/>
    <col min="11028" max="11028" width="16.5703125" style="1046" customWidth="1"/>
    <col min="11029" max="11029" width="5.140625" style="1046" customWidth="1"/>
    <col min="11030" max="11030" width="15.28515625" style="1046" customWidth="1"/>
    <col min="11031" max="11031" width="4.7109375" style="1046" customWidth="1"/>
    <col min="11032" max="11032" width="0" style="1046" hidden="1" customWidth="1"/>
    <col min="11033" max="11033" width="6.5703125" style="1046" customWidth="1"/>
    <col min="11034" max="11034" width="10.5703125" style="1046" customWidth="1"/>
    <col min="11035" max="11035" width="17.42578125" style="1046" customWidth="1"/>
    <col min="11036" max="11036" width="7.7109375" style="1046" customWidth="1"/>
    <col min="11037" max="11037" width="15.42578125" style="1046" customWidth="1"/>
    <col min="11038" max="11038" width="16.42578125" style="1046" customWidth="1"/>
    <col min="11039" max="11039" width="17.28515625" style="1046" customWidth="1"/>
    <col min="11040" max="11040" width="0" style="1046" hidden="1" customWidth="1"/>
    <col min="11041" max="11041" width="19" style="1046" customWidth="1"/>
    <col min="11042" max="11044" width="26" style="1046" customWidth="1"/>
    <col min="11045" max="11045" width="35.42578125" style="1046" customWidth="1"/>
    <col min="11046" max="11046" width="27.5703125" style="1046" customWidth="1"/>
    <col min="11047" max="11047" width="9.140625" style="1046"/>
    <col min="11048" max="11048" width="26.7109375" style="1046" customWidth="1"/>
    <col min="11049" max="11049" width="17.28515625" style="1046" customWidth="1"/>
    <col min="11050" max="11215" width="9.140625" style="1046"/>
    <col min="11216" max="11217" width="3" style="1046" customWidth="1"/>
    <col min="11218" max="11218" width="4.42578125" style="1046" bestFit="1" customWidth="1"/>
    <col min="11219" max="11219" width="59.140625" style="1046" customWidth="1"/>
    <col min="11220" max="11220" width="0" style="1046" hidden="1" customWidth="1"/>
    <col min="11221" max="11221" width="12.7109375" style="1046" customWidth="1"/>
    <col min="11222" max="11222" width="8.28515625" style="1046" customWidth="1"/>
    <col min="11223" max="11223" width="14.42578125" style="1046" customWidth="1"/>
    <col min="11224" max="11224" width="7.28515625" style="1046" customWidth="1"/>
    <col min="11225" max="11225" width="9.5703125" style="1046" customWidth="1"/>
    <col min="11226" max="11226" width="17" style="1046" customWidth="1"/>
    <col min="11227" max="11227" width="0" style="1046" hidden="1" customWidth="1"/>
    <col min="11228" max="11228" width="15.140625" style="1046" customWidth="1"/>
    <col min="11229" max="11229" width="13.85546875" style="1046" customWidth="1"/>
    <col min="11230" max="11230" width="4.42578125" style="1046" customWidth="1"/>
    <col min="11231" max="11231" width="12.28515625" style="1046" customWidth="1"/>
    <col min="11232" max="11232" width="6" style="1046" customWidth="1"/>
    <col min="11233" max="11233" width="19.85546875" style="1046" customWidth="1"/>
    <col min="11234" max="11234" width="5.140625" style="1046" customWidth="1"/>
    <col min="11235" max="11235" width="17.28515625" style="1046" bestFit="1" customWidth="1"/>
    <col min="11236" max="11237" width="0" style="1046" hidden="1" customWidth="1"/>
    <col min="11238" max="11238" width="5.85546875" style="1046" customWidth="1"/>
    <col min="11239" max="11239" width="10.42578125" style="1046" customWidth="1"/>
    <col min="11240" max="11240" width="15.42578125" style="1046" customWidth="1"/>
    <col min="11241" max="11241" width="11.85546875" style="1046" customWidth="1"/>
    <col min="11242" max="11242" width="16.42578125" style="1046" customWidth="1"/>
    <col min="11243" max="11243" width="17.28515625" style="1046" customWidth="1"/>
    <col min="11244" max="11244" width="19" style="1046" bestFit="1" customWidth="1"/>
    <col min="11245" max="11245" width="20" style="1046" customWidth="1"/>
    <col min="11246" max="11246" width="18.7109375" style="1046" bestFit="1" customWidth="1"/>
    <col min="11247" max="11247" width="17.85546875" style="1046" bestFit="1" customWidth="1"/>
    <col min="11248" max="11248" width="16.42578125" style="1046" bestFit="1" customWidth="1"/>
    <col min="11249" max="11263" width="9.140625" style="1046"/>
    <col min="11264" max="11264" width="6.85546875" style="1046" customWidth="1"/>
    <col min="11265" max="11265" width="54.85546875" style="1046" customWidth="1"/>
    <col min="11266" max="11266" width="0" style="1046" hidden="1" customWidth="1"/>
    <col min="11267" max="11267" width="12.7109375" style="1046" customWidth="1"/>
    <col min="11268" max="11268" width="13.85546875" style="1046" customWidth="1"/>
    <col min="11269" max="11269" width="19.42578125" style="1046" customWidth="1"/>
    <col min="11270" max="11270" width="9.28515625" style="1046" customWidth="1"/>
    <col min="11271" max="11271" width="11.85546875" style="1046" customWidth="1"/>
    <col min="11272" max="11272" width="16.42578125" style="1046" customWidth="1"/>
    <col min="11273" max="11273" width="0" style="1046" hidden="1" customWidth="1"/>
    <col min="11274" max="11274" width="16.5703125" style="1046" customWidth="1"/>
    <col min="11275" max="11276" width="0" style="1046" hidden="1" customWidth="1"/>
    <col min="11277" max="11278" width="16.5703125" style="1046" customWidth="1"/>
    <col min="11279" max="11279" width="5.140625" style="1046" customWidth="1"/>
    <col min="11280" max="11280" width="16.5703125" style="1046" customWidth="1"/>
    <col min="11281" max="11281" width="5.140625" style="1046" customWidth="1"/>
    <col min="11282" max="11282" width="16.5703125" style="1046" customWidth="1"/>
    <col min="11283" max="11283" width="5.140625" style="1046" customWidth="1"/>
    <col min="11284" max="11284" width="16.5703125" style="1046" customWidth="1"/>
    <col min="11285" max="11285" width="5.140625" style="1046" customWidth="1"/>
    <col min="11286" max="11286" width="15.28515625" style="1046" customWidth="1"/>
    <col min="11287" max="11287" width="4.7109375" style="1046" customWidth="1"/>
    <col min="11288" max="11288" width="0" style="1046" hidden="1" customWidth="1"/>
    <col min="11289" max="11289" width="6.5703125" style="1046" customWidth="1"/>
    <col min="11290" max="11290" width="10.5703125" style="1046" customWidth="1"/>
    <col min="11291" max="11291" width="17.42578125" style="1046" customWidth="1"/>
    <col min="11292" max="11292" width="7.7109375" style="1046" customWidth="1"/>
    <col min="11293" max="11293" width="15.42578125" style="1046" customWidth="1"/>
    <col min="11294" max="11294" width="16.42578125" style="1046" customWidth="1"/>
    <col min="11295" max="11295" width="17.28515625" style="1046" customWidth="1"/>
    <col min="11296" max="11296" width="0" style="1046" hidden="1" customWidth="1"/>
    <col min="11297" max="11297" width="19" style="1046" customWidth="1"/>
    <col min="11298" max="11300" width="26" style="1046" customWidth="1"/>
    <col min="11301" max="11301" width="35.42578125" style="1046" customWidth="1"/>
    <col min="11302" max="11302" width="27.5703125" style="1046" customWidth="1"/>
    <col min="11303" max="11303" width="9.140625" style="1046"/>
    <col min="11304" max="11304" width="26.7109375" style="1046" customWidth="1"/>
    <col min="11305" max="11305" width="17.28515625" style="1046" customWidth="1"/>
    <col min="11306" max="11471" width="9.140625" style="1046"/>
    <col min="11472" max="11473" width="3" style="1046" customWidth="1"/>
    <col min="11474" max="11474" width="4.42578125" style="1046" bestFit="1" customWidth="1"/>
    <col min="11475" max="11475" width="59.140625" style="1046" customWidth="1"/>
    <col min="11476" max="11476" width="0" style="1046" hidden="1" customWidth="1"/>
    <col min="11477" max="11477" width="12.7109375" style="1046" customWidth="1"/>
    <col min="11478" max="11478" width="8.28515625" style="1046" customWidth="1"/>
    <col min="11479" max="11479" width="14.42578125" style="1046" customWidth="1"/>
    <col min="11480" max="11480" width="7.28515625" style="1046" customWidth="1"/>
    <col min="11481" max="11481" width="9.5703125" style="1046" customWidth="1"/>
    <col min="11482" max="11482" width="17" style="1046" customWidth="1"/>
    <col min="11483" max="11483" width="0" style="1046" hidden="1" customWidth="1"/>
    <col min="11484" max="11484" width="15.140625" style="1046" customWidth="1"/>
    <col min="11485" max="11485" width="13.85546875" style="1046" customWidth="1"/>
    <col min="11486" max="11486" width="4.42578125" style="1046" customWidth="1"/>
    <col min="11487" max="11487" width="12.28515625" style="1046" customWidth="1"/>
    <col min="11488" max="11488" width="6" style="1046" customWidth="1"/>
    <col min="11489" max="11489" width="19.85546875" style="1046" customWidth="1"/>
    <col min="11490" max="11490" width="5.140625" style="1046" customWidth="1"/>
    <col min="11491" max="11491" width="17.28515625" style="1046" bestFit="1" customWidth="1"/>
    <col min="11492" max="11493" width="0" style="1046" hidden="1" customWidth="1"/>
    <col min="11494" max="11494" width="5.85546875" style="1046" customWidth="1"/>
    <col min="11495" max="11495" width="10.42578125" style="1046" customWidth="1"/>
    <col min="11496" max="11496" width="15.42578125" style="1046" customWidth="1"/>
    <col min="11497" max="11497" width="11.85546875" style="1046" customWidth="1"/>
    <col min="11498" max="11498" width="16.42578125" style="1046" customWidth="1"/>
    <col min="11499" max="11499" width="17.28515625" style="1046" customWidth="1"/>
    <col min="11500" max="11500" width="19" style="1046" bestFit="1" customWidth="1"/>
    <col min="11501" max="11501" width="20" style="1046" customWidth="1"/>
    <col min="11502" max="11502" width="18.7109375" style="1046" bestFit="1" customWidth="1"/>
    <col min="11503" max="11503" width="17.85546875" style="1046" bestFit="1" customWidth="1"/>
    <col min="11504" max="11504" width="16.42578125" style="1046" bestFit="1" customWidth="1"/>
    <col min="11505" max="11519" width="9.140625" style="1046"/>
    <col min="11520" max="11520" width="6.85546875" style="1046" customWidth="1"/>
    <col min="11521" max="11521" width="54.85546875" style="1046" customWidth="1"/>
    <col min="11522" max="11522" width="0" style="1046" hidden="1" customWidth="1"/>
    <col min="11523" max="11523" width="12.7109375" style="1046" customWidth="1"/>
    <col min="11524" max="11524" width="13.85546875" style="1046" customWidth="1"/>
    <col min="11525" max="11525" width="19.42578125" style="1046" customWidth="1"/>
    <col min="11526" max="11526" width="9.28515625" style="1046" customWidth="1"/>
    <col min="11527" max="11527" width="11.85546875" style="1046" customWidth="1"/>
    <col min="11528" max="11528" width="16.42578125" style="1046" customWidth="1"/>
    <col min="11529" max="11529" width="0" style="1046" hidden="1" customWidth="1"/>
    <col min="11530" max="11530" width="16.5703125" style="1046" customWidth="1"/>
    <col min="11531" max="11532" width="0" style="1046" hidden="1" customWidth="1"/>
    <col min="11533" max="11534" width="16.5703125" style="1046" customWidth="1"/>
    <col min="11535" max="11535" width="5.140625" style="1046" customWidth="1"/>
    <col min="11536" max="11536" width="16.5703125" style="1046" customWidth="1"/>
    <col min="11537" max="11537" width="5.140625" style="1046" customWidth="1"/>
    <col min="11538" max="11538" width="16.5703125" style="1046" customWidth="1"/>
    <col min="11539" max="11539" width="5.140625" style="1046" customWidth="1"/>
    <col min="11540" max="11540" width="16.5703125" style="1046" customWidth="1"/>
    <col min="11541" max="11541" width="5.140625" style="1046" customWidth="1"/>
    <col min="11542" max="11542" width="15.28515625" style="1046" customWidth="1"/>
    <col min="11543" max="11543" width="4.7109375" style="1046" customWidth="1"/>
    <col min="11544" max="11544" width="0" style="1046" hidden="1" customWidth="1"/>
    <col min="11545" max="11545" width="6.5703125" style="1046" customWidth="1"/>
    <col min="11546" max="11546" width="10.5703125" style="1046" customWidth="1"/>
    <col min="11547" max="11547" width="17.42578125" style="1046" customWidth="1"/>
    <col min="11548" max="11548" width="7.7109375" style="1046" customWidth="1"/>
    <col min="11549" max="11549" width="15.42578125" style="1046" customWidth="1"/>
    <col min="11550" max="11550" width="16.42578125" style="1046" customWidth="1"/>
    <col min="11551" max="11551" width="17.28515625" style="1046" customWidth="1"/>
    <col min="11552" max="11552" width="0" style="1046" hidden="1" customWidth="1"/>
    <col min="11553" max="11553" width="19" style="1046" customWidth="1"/>
    <col min="11554" max="11556" width="26" style="1046" customWidth="1"/>
    <col min="11557" max="11557" width="35.42578125" style="1046" customWidth="1"/>
    <col min="11558" max="11558" width="27.5703125" style="1046" customWidth="1"/>
    <col min="11559" max="11559" width="9.140625" style="1046"/>
    <col min="11560" max="11560" width="26.7109375" style="1046" customWidth="1"/>
    <col min="11561" max="11561" width="17.28515625" style="1046" customWidth="1"/>
    <col min="11562" max="11727" width="9.140625" style="1046"/>
    <col min="11728" max="11729" width="3" style="1046" customWidth="1"/>
    <col min="11730" max="11730" width="4.42578125" style="1046" bestFit="1" customWidth="1"/>
    <col min="11731" max="11731" width="59.140625" style="1046" customWidth="1"/>
    <col min="11732" max="11732" width="0" style="1046" hidden="1" customWidth="1"/>
    <col min="11733" max="11733" width="12.7109375" style="1046" customWidth="1"/>
    <col min="11734" max="11734" width="8.28515625" style="1046" customWidth="1"/>
    <col min="11735" max="11735" width="14.42578125" style="1046" customWidth="1"/>
    <col min="11736" max="11736" width="7.28515625" style="1046" customWidth="1"/>
    <col min="11737" max="11737" width="9.5703125" style="1046" customWidth="1"/>
    <col min="11738" max="11738" width="17" style="1046" customWidth="1"/>
    <col min="11739" max="11739" width="0" style="1046" hidden="1" customWidth="1"/>
    <col min="11740" max="11740" width="15.140625" style="1046" customWidth="1"/>
    <col min="11741" max="11741" width="13.85546875" style="1046" customWidth="1"/>
    <col min="11742" max="11742" width="4.42578125" style="1046" customWidth="1"/>
    <col min="11743" max="11743" width="12.28515625" style="1046" customWidth="1"/>
    <col min="11744" max="11744" width="6" style="1046" customWidth="1"/>
    <col min="11745" max="11745" width="19.85546875" style="1046" customWidth="1"/>
    <col min="11746" max="11746" width="5.140625" style="1046" customWidth="1"/>
    <col min="11747" max="11747" width="17.28515625" style="1046" bestFit="1" customWidth="1"/>
    <col min="11748" max="11749" width="0" style="1046" hidden="1" customWidth="1"/>
    <col min="11750" max="11750" width="5.85546875" style="1046" customWidth="1"/>
    <col min="11751" max="11751" width="10.42578125" style="1046" customWidth="1"/>
    <col min="11752" max="11752" width="15.42578125" style="1046" customWidth="1"/>
    <col min="11753" max="11753" width="11.85546875" style="1046" customWidth="1"/>
    <col min="11754" max="11754" width="16.42578125" style="1046" customWidth="1"/>
    <col min="11755" max="11755" width="17.28515625" style="1046" customWidth="1"/>
    <col min="11756" max="11756" width="19" style="1046" bestFit="1" customWidth="1"/>
    <col min="11757" max="11757" width="20" style="1046" customWidth="1"/>
    <col min="11758" max="11758" width="18.7109375" style="1046" bestFit="1" customWidth="1"/>
    <col min="11759" max="11759" width="17.85546875" style="1046" bestFit="1" customWidth="1"/>
    <col min="11760" max="11760" width="16.42578125" style="1046" bestFit="1" customWidth="1"/>
    <col min="11761" max="11775" width="9.140625" style="1046"/>
    <col min="11776" max="11776" width="6.85546875" style="1046" customWidth="1"/>
    <col min="11777" max="11777" width="54.85546875" style="1046" customWidth="1"/>
    <col min="11778" max="11778" width="0" style="1046" hidden="1" customWidth="1"/>
    <col min="11779" max="11779" width="12.7109375" style="1046" customWidth="1"/>
    <col min="11780" max="11780" width="13.85546875" style="1046" customWidth="1"/>
    <col min="11781" max="11781" width="19.42578125" style="1046" customWidth="1"/>
    <col min="11782" max="11782" width="9.28515625" style="1046" customWidth="1"/>
    <col min="11783" max="11783" width="11.85546875" style="1046" customWidth="1"/>
    <col min="11784" max="11784" width="16.42578125" style="1046" customWidth="1"/>
    <col min="11785" max="11785" width="0" style="1046" hidden="1" customWidth="1"/>
    <col min="11786" max="11786" width="16.5703125" style="1046" customWidth="1"/>
    <col min="11787" max="11788" width="0" style="1046" hidden="1" customWidth="1"/>
    <col min="11789" max="11790" width="16.5703125" style="1046" customWidth="1"/>
    <col min="11791" max="11791" width="5.140625" style="1046" customWidth="1"/>
    <col min="11792" max="11792" width="16.5703125" style="1046" customWidth="1"/>
    <col min="11793" max="11793" width="5.140625" style="1046" customWidth="1"/>
    <col min="11794" max="11794" width="16.5703125" style="1046" customWidth="1"/>
    <col min="11795" max="11795" width="5.140625" style="1046" customWidth="1"/>
    <col min="11796" max="11796" width="16.5703125" style="1046" customWidth="1"/>
    <col min="11797" max="11797" width="5.140625" style="1046" customWidth="1"/>
    <col min="11798" max="11798" width="15.28515625" style="1046" customWidth="1"/>
    <col min="11799" max="11799" width="4.7109375" style="1046" customWidth="1"/>
    <col min="11800" max="11800" width="0" style="1046" hidden="1" customWidth="1"/>
    <col min="11801" max="11801" width="6.5703125" style="1046" customWidth="1"/>
    <col min="11802" max="11802" width="10.5703125" style="1046" customWidth="1"/>
    <col min="11803" max="11803" width="17.42578125" style="1046" customWidth="1"/>
    <col min="11804" max="11804" width="7.7109375" style="1046" customWidth="1"/>
    <col min="11805" max="11805" width="15.42578125" style="1046" customWidth="1"/>
    <col min="11806" max="11806" width="16.42578125" style="1046" customWidth="1"/>
    <col min="11807" max="11807" width="17.28515625" style="1046" customWidth="1"/>
    <col min="11808" max="11808" width="0" style="1046" hidden="1" customWidth="1"/>
    <col min="11809" max="11809" width="19" style="1046" customWidth="1"/>
    <col min="11810" max="11812" width="26" style="1046" customWidth="1"/>
    <col min="11813" max="11813" width="35.42578125" style="1046" customWidth="1"/>
    <col min="11814" max="11814" width="27.5703125" style="1046" customWidth="1"/>
    <col min="11815" max="11815" width="9.140625" style="1046"/>
    <col min="11816" max="11816" width="26.7109375" style="1046" customWidth="1"/>
    <col min="11817" max="11817" width="17.28515625" style="1046" customWidth="1"/>
    <col min="11818" max="11983" width="9.140625" style="1046"/>
    <col min="11984" max="11985" width="3" style="1046" customWidth="1"/>
    <col min="11986" max="11986" width="4.42578125" style="1046" bestFit="1" customWidth="1"/>
    <col min="11987" max="11987" width="59.140625" style="1046" customWidth="1"/>
    <col min="11988" max="11988" width="0" style="1046" hidden="1" customWidth="1"/>
    <col min="11989" max="11989" width="12.7109375" style="1046" customWidth="1"/>
    <col min="11990" max="11990" width="8.28515625" style="1046" customWidth="1"/>
    <col min="11991" max="11991" width="14.42578125" style="1046" customWidth="1"/>
    <col min="11992" max="11992" width="7.28515625" style="1046" customWidth="1"/>
    <col min="11993" max="11993" width="9.5703125" style="1046" customWidth="1"/>
    <col min="11994" max="11994" width="17" style="1046" customWidth="1"/>
    <col min="11995" max="11995" width="0" style="1046" hidden="1" customWidth="1"/>
    <col min="11996" max="11996" width="15.140625" style="1046" customWidth="1"/>
    <col min="11997" max="11997" width="13.85546875" style="1046" customWidth="1"/>
    <col min="11998" max="11998" width="4.42578125" style="1046" customWidth="1"/>
    <col min="11999" max="11999" width="12.28515625" style="1046" customWidth="1"/>
    <col min="12000" max="12000" width="6" style="1046" customWidth="1"/>
    <col min="12001" max="12001" width="19.85546875" style="1046" customWidth="1"/>
    <col min="12002" max="12002" width="5.140625" style="1046" customWidth="1"/>
    <col min="12003" max="12003" width="17.28515625" style="1046" bestFit="1" customWidth="1"/>
    <col min="12004" max="12005" width="0" style="1046" hidden="1" customWidth="1"/>
    <col min="12006" max="12006" width="5.85546875" style="1046" customWidth="1"/>
    <col min="12007" max="12007" width="10.42578125" style="1046" customWidth="1"/>
    <col min="12008" max="12008" width="15.42578125" style="1046" customWidth="1"/>
    <col min="12009" max="12009" width="11.85546875" style="1046" customWidth="1"/>
    <col min="12010" max="12010" width="16.42578125" style="1046" customWidth="1"/>
    <col min="12011" max="12011" width="17.28515625" style="1046" customWidth="1"/>
    <col min="12012" max="12012" width="19" style="1046" bestFit="1" customWidth="1"/>
    <col min="12013" max="12013" width="20" style="1046" customWidth="1"/>
    <col min="12014" max="12014" width="18.7109375" style="1046" bestFit="1" customWidth="1"/>
    <col min="12015" max="12015" width="17.85546875" style="1046" bestFit="1" customWidth="1"/>
    <col min="12016" max="12016" width="16.42578125" style="1046" bestFit="1" customWidth="1"/>
    <col min="12017" max="12031" width="9.140625" style="1046"/>
    <col min="12032" max="12032" width="6.85546875" style="1046" customWidth="1"/>
    <col min="12033" max="12033" width="54.85546875" style="1046" customWidth="1"/>
    <col min="12034" max="12034" width="0" style="1046" hidden="1" customWidth="1"/>
    <col min="12035" max="12035" width="12.7109375" style="1046" customWidth="1"/>
    <col min="12036" max="12036" width="13.85546875" style="1046" customWidth="1"/>
    <col min="12037" max="12037" width="19.42578125" style="1046" customWidth="1"/>
    <col min="12038" max="12038" width="9.28515625" style="1046" customWidth="1"/>
    <col min="12039" max="12039" width="11.85546875" style="1046" customWidth="1"/>
    <col min="12040" max="12040" width="16.42578125" style="1046" customWidth="1"/>
    <col min="12041" max="12041" width="0" style="1046" hidden="1" customWidth="1"/>
    <col min="12042" max="12042" width="16.5703125" style="1046" customWidth="1"/>
    <col min="12043" max="12044" width="0" style="1046" hidden="1" customWidth="1"/>
    <col min="12045" max="12046" width="16.5703125" style="1046" customWidth="1"/>
    <col min="12047" max="12047" width="5.140625" style="1046" customWidth="1"/>
    <col min="12048" max="12048" width="16.5703125" style="1046" customWidth="1"/>
    <col min="12049" max="12049" width="5.140625" style="1046" customWidth="1"/>
    <col min="12050" max="12050" width="16.5703125" style="1046" customWidth="1"/>
    <col min="12051" max="12051" width="5.140625" style="1046" customWidth="1"/>
    <col min="12052" max="12052" width="16.5703125" style="1046" customWidth="1"/>
    <col min="12053" max="12053" width="5.140625" style="1046" customWidth="1"/>
    <col min="12054" max="12054" width="15.28515625" style="1046" customWidth="1"/>
    <col min="12055" max="12055" width="4.7109375" style="1046" customWidth="1"/>
    <col min="12056" max="12056" width="0" style="1046" hidden="1" customWidth="1"/>
    <col min="12057" max="12057" width="6.5703125" style="1046" customWidth="1"/>
    <col min="12058" max="12058" width="10.5703125" style="1046" customWidth="1"/>
    <col min="12059" max="12059" width="17.42578125" style="1046" customWidth="1"/>
    <col min="12060" max="12060" width="7.7109375" style="1046" customWidth="1"/>
    <col min="12061" max="12061" width="15.42578125" style="1046" customWidth="1"/>
    <col min="12062" max="12062" width="16.42578125" style="1046" customWidth="1"/>
    <col min="12063" max="12063" width="17.28515625" style="1046" customWidth="1"/>
    <col min="12064" max="12064" width="0" style="1046" hidden="1" customWidth="1"/>
    <col min="12065" max="12065" width="19" style="1046" customWidth="1"/>
    <col min="12066" max="12068" width="26" style="1046" customWidth="1"/>
    <col min="12069" max="12069" width="35.42578125" style="1046" customWidth="1"/>
    <col min="12070" max="12070" width="27.5703125" style="1046" customWidth="1"/>
    <col min="12071" max="12071" width="9.140625" style="1046"/>
    <col min="12072" max="12072" width="26.7109375" style="1046" customWidth="1"/>
    <col min="12073" max="12073" width="17.28515625" style="1046" customWidth="1"/>
    <col min="12074" max="12239" width="9.140625" style="1046"/>
    <col min="12240" max="12241" width="3" style="1046" customWidth="1"/>
    <col min="12242" max="12242" width="4.42578125" style="1046" bestFit="1" customWidth="1"/>
    <col min="12243" max="12243" width="59.140625" style="1046" customWidth="1"/>
    <col min="12244" max="12244" width="0" style="1046" hidden="1" customWidth="1"/>
    <col min="12245" max="12245" width="12.7109375" style="1046" customWidth="1"/>
    <col min="12246" max="12246" width="8.28515625" style="1046" customWidth="1"/>
    <col min="12247" max="12247" width="14.42578125" style="1046" customWidth="1"/>
    <col min="12248" max="12248" width="7.28515625" style="1046" customWidth="1"/>
    <col min="12249" max="12249" width="9.5703125" style="1046" customWidth="1"/>
    <col min="12250" max="12250" width="17" style="1046" customWidth="1"/>
    <col min="12251" max="12251" width="0" style="1046" hidden="1" customWidth="1"/>
    <col min="12252" max="12252" width="15.140625" style="1046" customWidth="1"/>
    <col min="12253" max="12253" width="13.85546875" style="1046" customWidth="1"/>
    <col min="12254" max="12254" width="4.42578125" style="1046" customWidth="1"/>
    <col min="12255" max="12255" width="12.28515625" style="1046" customWidth="1"/>
    <col min="12256" max="12256" width="6" style="1046" customWidth="1"/>
    <col min="12257" max="12257" width="19.85546875" style="1046" customWidth="1"/>
    <col min="12258" max="12258" width="5.140625" style="1046" customWidth="1"/>
    <col min="12259" max="12259" width="17.28515625" style="1046" bestFit="1" customWidth="1"/>
    <col min="12260" max="12261" width="0" style="1046" hidden="1" customWidth="1"/>
    <col min="12262" max="12262" width="5.85546875" style="1046" customWidth="1"/>
    <col min="12263" max="12263" width="10.42578125" style="1046" customWidth="1"/>
    <col min="12264" max="12264" width="15.42578125" style="1046" customWidth="1"/>
    <col min="12265" max="12265" width="11.85546875" style="1046" customWidth="1"/>
    <col min="12266" max="12266" width="16.42578125" style="1046" customWidth="1"/>
    <col min="12267" max="12267" width="17.28515625" style="1046" customWidth="1"/>
    <col min="12268" max="12268" width="19" style="1046" bestFit="1" customWidth="1"/>
    <col min="12269" max="12269" width="20" style="1046" customWidth="1"/>
    <col min="12270" max="12270" width="18.7109375" style="1046" bestFit="1" customWidth="1"/>
    <col min="12271" max="12271" width="17.85546875" style="1046" bestFit="1" customWidth="1"/>
    <col min="12272" max="12272" width="16.42578125" style="1046" bestFit="1" customWidth="1"/>
    <col min="12273" max="12287" width="9.140625" style="1046"/>
    <col min="12288" max="12288" width="6.85546875" style="1046" customWidth="1"/>
    <col min="12289" max="12289" width="54.85546875" style="1046" customWidth="1"/>
    <col min="12290" max="12290" width="0" style="1046" hidden="1" customWidth="1"/>
    <col min="12291" max="12291" width="12.7109375" style="1046" customWidth="1"/>
    <col min="12292" max="12292" width="13.85546875" style="1046" customWidth="1"/>
    <col min="12293" max="12293" width="19.42578125" style="1046" customWidth="1"/>
    <col min="12294" max="12294" width="9.28515625" style="1046" customWidth="1"/>
    <col min="12295" max="12295" width="11.85546875" style="1046" customWidth="1"/>
    <col min="12296" max="12296" width="16.42578125" style="1046" customWidth="1"/>
    <col min="12297" max="12297" width="0" style="1046" hidden="1" customWidth="1"/>
    <col min="12298" max="12298" width="16.5703125" style="1046" customWidth="1"/>
    <col min="12299" max="12300" width="0" style="1046" hidden="1" customWidth="1"/>
    <col min="12301" max="12302" width="16.5703125" style="1046" customWidth="1"/>
    <col min="12303" max="12303" width="5.140625" style="1046" customWidth="1"/>
    <col min="12304" max="12304" width="16.5703125" style="1046" customWidth="1"/>
    <col min="12305" max="12305" width="5.140625" style="1046" customWidth="1"/>
    <col min="12306" max="12306" width="16.5703125" style="1046" customWidth="1"/>
    <col min="12307" max="12307" width="5.140625" style="1046" customWidth="1"/>
    <col min="12308" max="12308" width="16.5703125" style="1046" customWidth="1"/>
    <col min="12309" max="12309" width="5.140625" style="1046" customWidth="1"/>
    <col min="12310" max="12310" width="15.28515625" style="1046" customWidth="1"/>
    <col min="12311" max="12311" width="4.7109375" style="1046" customWidth="1"/>
    <col min="12312" max="12312" width="0" style="1046" hidden="1" customWidth="1"/>
    <col min="12313" max="12313" width="6.5703125" style="1046" customWidth="1"/>
    <col min="12314" max="12314" width="10.5703125" style="1046" customWidth="1"/>
    <col min="12315" max="12315" width="17.42578125" style="1046" customWidth="1"/>
    <col min="12316" max="12316" width="7.7109375" style="1046" customWidth="1"/>
    <col min="12317" max="12317" width="15.42578125" style="1046" customWidth="1"/>
    <col min="12318" max="12318" width="16.42578125" style="1046" customWidth="1"/>
    <col min="12319" max="12319" width="17.28515625" style="1046" customWidth="1"/>
    <col min="12320" max="12320" width="0" style="1046" hidden="1" customWidth="1"/>
    <col min="12321" max="12321" width="19" style="1046" customWidth="1"/>
    <col min="12322" max="12324" width="26" style="1046" customWidth="1"/>
    <col min="12325" max="12325" width="35.42578125" style="1046" customWidth="1"/>
    <col min="12326" max="12326" width="27.5703125" style="1046" customWidth="1"/>
    <col min="12327" max="12327" width="9.140625" style="1046"/>
    <col min="12328" max="12328" width="26.7109375" style="1046" customWidth="1"/>
    <col min="12329" max="12329" width="17.28515625" style="1046" customWidth="1"/>
    <col min="12330" max="12495" width="9.140625" style="1046"/>
    <col min="12496" max="12497" width="3" style="1046" customWidth="1"/>
    <col min="12498" max="12498" width="4.42578125" style="1046" bestFit="1" customWidth="1"/>
    <col min="12499" max="12499" width="59.140625" style="1046" customWidth="1"/>
    <col min="12500" max="12500" width="0" style="1046" hidden="1" customWidth="1"/>
    <col min="12501" max="12501" width="12.7109375" style="1046" customWidth="1"/>
    <col min="12502" max="12502" width="8.28515625" style="1046" customWidth="1"/>
    <col min="12503" max="12503" width="14.42578125" style="1046" customWidth="1"/>
    <col min="12504" max="12504" width="7.28515625" style="1046" customWidth="1"/>
    <col min="12505" max="12505" width="9.5703125" style="1046" customWidth="1"/>
    <col min="12506" max="12506" width="17" style="1046" customWidth="1"/>
    <col min="12507" max="12507" width="0" style="1046" hidden="1" customWidth="1"/>
    <col min="12508" max="12508" width="15.140625" style="1046" customWidth="1"/>
    <col min="12509" max="12509" width="13.85546875" style="1046" customWidth="1"/>
    <col min="12510" max="12510" width="4.42578125" style="1046" customWidth="1"/>
    <col min="12511" max="12511" width="12.28515625" style="1046" customWidth="1"/>
    <col min="12512" max="12512" width="6" style="1046" customWidth="1"/>
    <col min="12513" max="12513" width="19.85546875" style="1046" customWidth="1"/>
    <col min="12514" max="12514" width="5.140625" style="1046" customWidth="1"/>
    <col min="12515" max="12515" width="17.28515625" style="1046" bestFit="1" customWidth="1"/>
    <col min="12516" max="12517" width="0" style="1046" hidden="1" customWidth="1"/>
    <col min="12518" max="12518" width="5.85546875" style="1046" customWidth="1"/>
    <col min="12519" max="12519" width="10.42578125" style="1046" customWidth="1"/>
    <col min="12520" max="12520" width="15.42578125" style="1046" customWidth="1"/>
    <col min="12521" max="12521" width="11.85546875" style="1046" customWidth="1"/>
    <col min="12522" max="12522" width="16.42578125" style="1046" customWidth="1"/>
    <col min="12523" max="12523" width="17.28515625" style="1046" customWidth="1"/>
    <col min="12524" max="12524" width="19" style="1046" bestFit="1" customWidth="1"/>
    <col min="12525" max="12525" width="20" style="1046" customWidth="1"/>
    <col min="12526" max="12526" width="18.7109375" style="1046" bestFit="1" customWidth="1"/>
    <col min="12527" max="12527" width="17.85546875" style="1046" bestFit="1" customWidth="1"/>
    <col min="12528" max="12528" width="16.42578125" style="1046" bestFit="1" customWidth="1"/>
    <col min="12529" max="12543" width="9.140625" style="1046"/>
    <col min="12544" max="12544" width="6.85546875" style="1046" customWidth="1"/>
    <col min="12545" max="12545" width="54.85546875" style="1046" customWidth="1"/>
    <col min="12546" max="12546" width="0" style="1046" hidden="1" customWidth="1"/>
    <col min="12547" max="12547" width="12.7109375" style="1046" customWidth="1"/>
    <col min="12548" max="12548" width="13.85546875" style="1046" customWidth="1"/>
    <col min="12549" max="12549" width="19.42578125" style="1046" customWidth="1"/>
    <col min="12550" max="12550" width="9.28515625" style="1046" customWidth="1"/>
    <col min="12551" max="12551" width="11.85546875" style="1046" customWidth="1"/>
    <col min="12552" max="12552" width="16.42578125" style="1046" customWidth="1"/>
    <col min="12553" max="12553" width="0" style="1046" hidden="1" customWidth="1"/>
    <col min="12554" max="12554" width="16.5703125" style="1046" customWidth="1"/>
    <col min="12555" max="12556" width="0" style="1046" hidden="1" customWidth="1"/>
    <col min="12557" max="12558" width="16.5703125" style="1046" customWidth="1"/>
    <col min="12559" max="12559" width="5.140625" style="1046" customWidth="1"/>
    <col min="12560" max="12560" width="16.5703125" style="1046" customWidth="1"/>
    <col min="12561" max="12561" width="5.140625" style="1046" customWidth="1"/>
    <col min="12562" max="12562" width="16.5703125" style="1046" customWidth="1"/>
    <col min="12563" max="12563" width="5.140625" style="1046" customWidth="1"/>
    <col min="12564" max="12564" width="16.5703125" style="1046" customWidth="1"/>
    <col min="12565" max="12565" width="5.140625" style="1046" customWidth="1"/>
    <col min="12566" max="12566" width="15.28515625" style="1046" customWidth="1"/>
    <col min="12567" max="12567" width="4.7109375" style="1046" customWidth="1"/>
    <col min="12568" max="12568" width="0" style="1046" hidden="1" customWidth="1"/>
    <col min="12569" max="12569" width="6.5703125" style="1046" customWidth="1"/>
    <col min="12570" max="12570" width="10.5703125" style="1046" customWidth="1"/>
    <col min="12571" max="12571" width="17.42578125" style="1046" customWidth="1"/>
    <col min="12572" max="12572" width="7.7109375" style="1046" customWidth="1"/>
    <col min="12573" max="12573" width="15.42578125" style="1046" customWidth="1"/>
    <col min="12574" max="12574" width="16.42578125" style="1046" customWidth="1"/>
    <col min="12575" max="12575" width="17.28515625" style="1046" customWidth="1"/>
    <col min="12576" max="12576" width="0" style="1046" hidden="1" customWidth="1"/>
    <col min="12577" max="12577" width="19" style="1046" customWidth="1"/>
    <col min="12578" max="12580" width="26" style="1046" customWidth="1"/>
    <col min="12581" max="12581" width="35.42578125" style="1046" customWidth="1"/>
    <col min="12582" max="12582" width="27.5703125" style="1046" customWidth="1"/>
    <col min="12583" max="12583" width="9.140625" style="1046"/>
    <col min="12584" max="12584" width="26.7109375" style="1046" customWidth="1"/>
    <col min="12585" max="12585" width="17.28515625" style="1046" customWidth="1"/>
    <col min="12586" max="12751" width="9.140625" style="1046"/>
    <col min="12752" max="12753" width="3" style="1046" customWidth="1"/>
    <col min="12754" max="12754" width="4.42578125" style="1046" bestFit="1" customWidth="1"/>
    <col min="12755" max="12755" width="59.140625" style="1046" customWidth="1"/>
    <col min="12756" max="12756" width="0" style="1046" hidden="1" customWidth="1"/>
    <col min="12757" max="12757" width="12.7109375" style="1046" customWidth="1"/>
    <col min="12758" max="12758" width="8.28515625" style="1046" customWidth="1"/>
    <col min="12759" max="12759" width="14.42578125" style="1046" customWidth="1"/>
    <col min="12760" max="12760" width="7.28515625" style="1046" customWidth="1"/>
    <col min="12761" max="12761" width="9.5703125" style="1046" customWidth="1"/>
    <col min="12762" max="12762" width="17" style="1046" customWidth="1"/>
    <col min="12763" max="12763" width="0" style="1046" hidden="1" customWidth="1"/>
    <col min="12764" max="12764" width="15.140625" style="1046" customWidth="1"/>
    <col min="12765" max="12765" width="13.85546875" style="1046" customWidth="1"/>
    <col min="12766" max="12766" width="4.42578125" style="1046" customWidth="1"/>
    <col min="12767" max="12767" width="12.28515625" style="1046" customWidth="1"/>
    <col min="12768" max="12768" width="6" style="1046" customWidth="1"/>
    <col min="12769" max="12769" width="19.85546875" style="1046" customWidth="1"/>
    <col min="12770" max="12770" width="5.140625" style="1046" customWidth="1"/>
    <col min="12771" max="12771" width="17.28515625" style="1046" bestFit="1" customWidth="1"/>
    <col min="12772" max="12773" width="0" style="1046" hidden="1" customWidth="1"/>
    <col min="12774" max="12774" width="5.85546875" style="1046" customWidth="1"/>
    <col min="12775" max="12775" width="10.42578125" style="1046" customWidth="1"/>
    <col min="12776" max="12776" width="15.42578125" style="1046" customWidth="1"/>
    <col min="12777" max="12777" width="11.85546875" style="1046" customWidth="1"/>
    <col min="12778" max="12778" width="16.42578125" style="1046" customWidth="1"/>
    <col min="12779" max="12779" width="17.28515625" style="1046" customWidth="1"/>
    <col min="12780" max="12780" width="19" style="1046" bestFit="1" customWidth="1"/>
    <col min="12781" max="12781" width="20" style="1046" customWidth="1"/>
    <col min="12782" max="12782" width="18.7109375" style="1046" bestFit="1" customWidth="1"/>
    <col min="12783" max="12783" width="17.85546875" style="1046" bestFit="1" customWidth="1"/>
    <col min="12784" max="12784" width="16.42578125" style="1046" bestFit="1" customWidth="1"/>
    <col min="12785" max="12799" width="9.140625" style="1046"/>
    <col min="12800" max="12800" width="6.85546875" style="1046" customWidth="1"/>
    <col min="12801" max="12801" width="54.85546875" style="1046" customWidth="1"/>
    <col min="12802" max="12802" width="0" style="1046" hidden="1" customWidth="1"/>
    <col min="12803" max="12803" width="12.7109375" style="1046" customWidth="1"/>
    <col min="12804" max="12804" width="13.85546875" style="1046" customWidth="1"/>
    <col min="12805" max="12805" width="19.42578125" style="1046" customWidth="1"/>
    <col min="12806" max="12806" width="9.28515625" style="1046" customWidth="1"/>
    <col min="12807" max="12807" width="11.85546875" style="1046" customWidth="1"/>
    <col min="12808" max="12808" width="16.42578125" style="1046" customWidth="1"/>
    <col min="12809" max="12809" width="0" style="1046" hidden="1" customWidth="1"/>
    <col min="12810" max="12810" width="16.5703125" style="1046" customWidth="1"/>
    <col min="12811" max="12812" width="0" style="1046" hidden="1" customWidth="1"/>
    <col min="12813" max="12814" width="16.5703125" style="1046" customWidth="1"/>
    <col min="12815" max="12815" width="5.140625" style="1046" customWidth="1"/>
    <col min="12816" max="12816" width="16.5703125" style="1046" customWidth="1"/>
    <col min="12817" max="12817" width="5.140625" style="1046" customWidth="1"/>
    <col min="12818" max="12818" width="16.5703125" style="1046" customWidth="1"/>
    <col min="12819" max="12819" width="5.140625" style="1046" customWidth="1"/>
    <col min="12820" max="12820" width="16.5703125" style="1046" customWidth="1"/>
    <col min="12821" max="12821" width="5.140625" style="1046" customWidth="1"/>
    <col min="12822" max="12822" width="15.28515625" style="1046" customWidth="1"/>
    <col min="12823" max="12823" width="4.7109375" style="1046" customWidth="1"/>
    <col min="12824" max="12824" width="0" style="1046" hidden="1" customWidth="1"/>
    <col min="12825" max="12825" width="6.5703125" style="1046" customWidth="1"/>
    <col min="12826" max="12826" width="10.5703125" style="1046" customWidth="1"/>
    <col min="12827" max="12827" width="17.42578125" style="1046" customWidth="1"/>
    <col min="12828" max="12828" width="7.7109375" style="1046" customWidth="1"/>
    <col min="12829" max="12829" width="15.42578125" style="1046" customWidth="1"/>
    <col min="12830" max="12830" width="16.42578125" style="1046" customWidth="1"/>
    <col min="12831" max="12831" width="17.28515625" style="1046" customWidth="1"/>
    <col min="12832" max="12832" width="0" style="1046" hidden="1" customWidth="1"/>
    <col min="12833" max="12833" width="19" style="1046" customWidth="1"/>
    <col min="12834" max="12836" width="26" style="1046" customWidth="1"/>
    <col min="12837" max="12837" width="35.42578125" style="1046" customWidth="1"/>
    <col min="12838" max="12838" width="27.5703125" style="1046" customWidth="1"/>
    <col min="12839" max="12839" width="9.140625" style="1046"/>
    <col min="12840" max="12840" width="26.7109375" style="1046" customWidth="1"/>
    <col min="12841" max="12841" width="17.28515625" style="1046" customWidth="1"/>
    <col min="12842" max="13007" width="9.140625" style="1046"/>
    <col min="13008" max="13009" width="3" style="1046" customWidth="1"/>
    <col min="13010" max="13010" width="4.42578125" style="1046" bestFit="1" customWidth="1"/>
    <col min="13011" max="13011" width="59.140625" style="1046" customWidth="1"/>
    <col min="13012" max="13012" width="0" style="1046" hidden="1" customWidth="1"/>
    <col min="13013" max="13013" width="12.7109375" style="1046" customWidth="1"/>
    <col min="13014" max="13014" width="8.28515625" style="1046" customWidth="1"/>
    <col min="13015" max="13015" width="14.42578125" style="1046" customWidth="1"/>
    <col min="13016" max="13016" width="7.28515625" style="1046" customWidth="1"/>
    <col min="13017" max="13017" width="9.5703125" style="1046" customWidth="1"/>
    <col min="13018" max="13018" width="17" style="1046" customWidth="1"/>
    <col min="13019" max="13019" width="0" style="1046" hidden="1" customWidth="1"/>
    <col min="13020" max="13020" width="15.140625" style="1046" customWidth="1"/>
    <col min="13021" max="13021" width="13.85546875" style="1046" customWidth="1"/>
    <col min="13022" max="13022" width="4.42578125" style="1046" customWidth="1"/>
    <col min="13023" max="13023" width="12.28515625" style="1046" customWidth="1"/>
    <col min="13024" max="13024" width="6" style="1046" customWidth="1"/>
    <col min="13025" max="13025" width="19.85546875" style="1046" customWidth="1"/>
    <col min="13026" max="13026" width="5.140625" style="1046" customWidth="1"/>
    <col min="13027" max="13027" width="17.28515625" style="1046" bestFit="1" customWidth="1"/>
    <col min="13028" max="13029" width="0" style="1046" hidden="1" customWidth="1"/>
    <col min="13030" max="13030" width="5.85546875" style="1046" customWidth="1"/>
    <col min="13031" max="13031" width="10.42578125" style="1046" customWidth="1"/>
    <col min="13032" max="13032" width="15.42578125" style="1046" customWidth="1"/>
    <col min="13033" max="13033" width="11.85546875" style="1046" customWidth="1"/>
    <col min="13034" max="13034" width="16.42578125" style="1046" customWidth="1"/>
    <col min="13035" max="13035" width="17.28515625" style="1046" customWidth="1"/>
    <col min="13036" max="13036" width="19" style="1046" bestFit="1" customWidth="1"/>
    <col min="13037" max="13037" width="20" style="1046" customWidth="1"/>
    <col min="13038" max="13038" width="18.7109375" style="1046" bestFit="1" customWidth="1"/>
    <col min="13039" max="13039" width="17.85546875" style="1046" bestFit="1" customWidth="1"/>
    <col min="13040" max="13040" width="16.42578125" style="1046" bestFit="1" customWidth="1"/>
    <col min="13041" max="13055" width="9.140625" style="1046"/>
    <col min="13056" max="13056" width="6.85546875" style="1046" customWidth="1"/>
    <col min="13057" max="13057" width="54.85546875" style="1046" customWidth="1"/>
    <col min="13058" max="13058" width="0" style="1046" hidden="1" customWidth="1"/>
    <col min="13059" max="13059" width="12.7109375" style="1046" customWidth="1"/>
    <col min="13060" max="13060" width="13.85546875" style="1046" customWidth="1"/>
    <col min="13061" max="13061" width="19.42578125" style="1046" customWidth="1"/>
    <col min="13062" max="13062" width="9.28515625" style="1046" customWidth="1"/>
    <col min="13063" max="13063" width="11.85546875" style="1046" customWidth="1"/>
    <col min="13064" max="13064" width="16.42578125" style="1046" customWidth="1"/>
    <col min="13065" max="13065" width="0" style="1046" hidden="1" customWidth="1"/>
    <col min="13066" max="13066" width="16.5703125" style="1046" customWidth="1"/>
    <col min="13067" max="13068" width="0" style="1046" hidden="1" customWidth="1"/>
    <col min="13069" max="13070" width="16.5703125" style="1046" customWidth="1"/>
    <col min="13071" max="13071" width="5.140625" style="1046" customWidth="1"/>
    <col min="13072" max="13072" width="16.5703125" style="1046" customWidth="1"/>
    <col min="13073" max="13073" width="5.140625" style="1046" customWidth="1"/>
    <col min="13074" max="13074" width="16.5703125" style="1046" customWidth="1"/>
    <col min="13075" max="13075" width="5.140625" style="1046" customWidth="1"/>
    <col min="13076" max="13076" width="16.5703125" style="1046" customWidth="1"/>
    <col min="13077" max="13077" width="5.140625" style="1046" customWidth="1"/>
    <col min="13078" max="13078" width="15.28515625" style="1046" customWidth="1"/>
    <col min="13079" max="13079" width="4.7109375" style="1046" customWidth="1"/>
    <col min="13080" max="13080" width="0" style="1046" hidden="1" customWidth="1"/>
    <col min="13081" max="13081" width="6.5703125" style="1046" customWidth="1"/>
    <col min="13082" max="13082" width="10.5703125" style="1046" customWidth="1"/>
    <col min="13083" max="13083" width="17.42578125" style="1046" customWidth="1"/>
    <col min="13084" max="13084" width="7.7109375" style="1046" customWidth="1"/>
    <col min="13085" max="13085" width="15.42578125" style="1046" customWidth="1"/>
    <col min="13086" max="13086" width="16.42578125" style="1046" customWidth="1"/>
    <col min="13087" max="13087" width="17.28515625" style="1046" customWidth="1"/>
    <col min="13088" max="13088" width="0" style="1046" hidden="1" customWidth="1"/>
    <col min="13089" max="13089" width="19" style="1046" customWidth="1"/>
    <col min="13090" max="13092" width="26" style="1046" customWidth="1"/>
    <col min="13093" max="13093" width="35.42578125" style="1046" customWidth="1"/>
    <col min="13094" max="13094" width="27.5703125" style="1046" customWidth="1"/>
    <col min="13095" max="13095" width="9.140625" style="1046"/>
    <col min="13096" max="13096" width="26.7109375" style="1046" customWidth="1"/>
    <col min="13097" max="13097" width="17.28515625" style="1046" customWidth="1"/>
    <col min="13098" max="13263" width="9.140625" style="1046"/>
    <col min="13264" max="13265" width="3" style="1046" customWidth="1"/>
    <col min="13266" max="13266" width="4.42578125" style="1046" bestFit="1" customWidth="1"/>
    <col min="13267" max="13267" width="59.140625" style="1046" customWidth="1"/>
    <col min="13268" max="13268" width="0" style="1046" hidden="1" customWidth="1"/>
    <col min="13269" max="13269" width="12.7109375" style="1046" customWidth="1"/>
    <col min="13270" max="13270" width="8.28515625" style="1046" customWidth="1"/>
    <col min="13271" max="13271" width="14.42578125" style="1046" customWidth="1"/>
    <col min="13272" max="13272" width="7.28515625" style="1046" customWidth="1"/>
    <col min="13273" max="13273" width="9.5703125" style="1046" customWidth="1"/>
    <col min="13274" max="13274" width="17" style="1046" customWidth="1"/>
    <col min="13275" max="13275" width="0" style="1046" hidden="1" customWidth="1"/>
    <col min="13276" max="13276" width="15.140625" style="1046" customWidth="1"/>
    <col min="13277" max="13277" width="13.85546875" style="1046" customWidth="1"/>
    <col min="13278" max="13278" width="4.42578125" style="1046" customWidth="1"/>
    <col min="13279" max="13279" width="12.28515625" style="1046" customWidth="1"/>
    <col min="13280" max="13280" width="6" style="1046" customWidth="1"/>
    <col min="13281" max="13281" width="19.85546875" style="1046" customWidth="1"/>
    <col min="13282" max="13282" width="5.140625" style="1046" customWidth="1"/>
    <col min="13283" max="13283" width="17.28515625" style="1046" bestFit="1" customWidth="1"/>
    <col min="13284" max="13285" width="0" style="1046" hidden="1" customWidth="1"/>
    <col min="13286" max="13286" width="5.85546875" style="1046" customWidth="1"/>
    <col min="13287" max="13287" width="10.42578125" style="1046" customWidth="1"/>
    <col min="13288" max="13288" width="15.42578125" style="1046" customWidth="1"/>
    <col min="13289" max="13289" width="11.85546875" style="1046" customWidth="1"/>
    <col min="13290" max="13290" width="16.42578125" style="1046" customWidth="1"/>
    <col min="13291" max="13291" width="17.28515625" style="1046" customWidth="1"/>
    <col min="13292" max="13292" width="19" style="1046" bestFit="1" customWidth="1"/>
    <col min="13293" max="13293" width="20" style="1046" customWidth="1"/>
    <col min="13294" max="13294" width="18.7109375" style="1046" bestFit="1" customWidth="1"/>
    <col min="13295" max="13295" width="17.85546875" style="1046" bestFit="1" customWidth="1"/>
    <col min="13296" max="13296" width="16.42578125" style="1046" bestFit="1" customWidth="1"/>
    <col min="13297" max="13311" width="9.140625" style="1046"/>
    <col min="13312" max="13312" width="6.85546875" style="1046" customWidth="1"/>
    <col min="13313" max="13313" width="54.85546875" style="1046" customWidth="1"/>
    <col min="13314" max="13314" width="0" style="1046" hidden="1" customWidth="1"/>
    <col min="13315" max="13315" width="12.7109375" style="1046" customWidth="1"/>
    <col min="13316" max="13316" width="13.85546875" style="1046" customWidth="1"/>
    <col min="13317" max="13317" width="19.42578125" style="1046" customWidth="1"/>
    <col min="13318" max="13318" width="9.28515625" style="1046" customWidth="1"/>
    <col min="13319" max="13319" width="11.85546875" style="1046" customWidth="1"/>
    <col min="13320" max="13320" width="16.42578125" style="1046" customWidth="1"/>
    <col min="13321" max="13321" width="0" style="1046" hidden="1" customWidth="1"/>
    <col min="13322" max="13322" width="16.5703125" style="1046" customWidth="1"/>
    <col min="13323" max="13324" width="0" style="1046" hidden="1" customWidth="1"/>
    <col min="13325" max="13326" width="16.5703125" style="1046" customWidth="1"/>
    <col min="13327" max="13327" width="5.140625" style="1046" customWidth="1"/>
    <col min="13328" max="13328" width="16.5703125" style="1046" customWidth="1"/>
    <col min="13329" max="13329" width="5.140625" style="1046" customWidth="1"/>
    <col min="13330" max="13330" width="16.5703125" style="1046" customWidth="1"/>
    <col min="13331" max="13331" width="5.140625" style="1046" customWidth="1"/>
    <col min="13332" max="13332" width="16.5703125" style="1046" customWidth="1"/>
    <col min="13333" max="13333" width="5.140625" style="1046" customWidth="1"/>
    <col min="13334" max="13334" width="15.28515625" style="1046" customWidth="1"/>
    <col min="13335" max="13335" width="4.7109375" style="1046" customWidth="1"/>
    <col min="13336" max="13336" width="0" style="1046" hidden="1" customWidth="1"/>
    <col min="13337" max="13337" width="6.5703125" style="1046" customWidth="1"/>
    <col min="13338" max="13338" width="10.5703125" style="1046" customWidth="1"/>
    <col min="13339" max="13339" width="17.42578125" style="1046" customWidth="1"/>
    <col min="13340" max="13340" width="7.7109375" style="1046" customWidth="1"/>
    <col min="13341" max="13341" width="15.42578125" style="1046" customWidth="1"/>
    <col min="13342" max="13342" width="16.42578125" style="1046" customWidth="1"/>
    <col min="13343" max="13343" width="17.28515625" style="1046" customWidth="1"/>
    <col min="13344" max="13344" width="0" style="1046" hidden="1" customWidth="1"/>
    <col min="13345" max="13345" width="19" style="1046" customWidth="1"/>
    <col min="13346" max="13348" width="26" style="1046" customWidth="1"/>
    <col min="13349" max="13349" width="35.42578125" style="1046" customWidth="1"/>
    <col min="13350" max="13350" width="27.5703125" style="1046" customWidth="1"/>
    <col min="13351" max="13351" width="9.140625" style="1046"/>
    <col min="13352" max="13352" width="26.7109375" style="1046" customWidth="1"/>
    <col min="13353" max="13353" width="17.28515625" style="1046" customWidth="1"/>
    <col min="13354" max="13519" width="9.140625" style="1046"/>
    <col min="13520" max="13521" width="3" style="1046" customWidth="1"/>
    <col min="13522" max="13522" width="4.42578125" style="1046" bestFit="1" customWidth="1"/>
    <col min="13523" max="13523" width="59.140625" style="1046" customWidth="1"/>
    <col min="13524" max="13524" width="0" style="1046" hidden="1" customWidth="1"/>
    <col min="13525" max="13525" width="12.7109375" style="1046" customWidth="1"/>
    <col min="13526" max="13526" width="8.28515625" style="1046" customWidth="1"/>
    <col min="13527" max="13527" width="14.42578125" style="1046" customWidth="1"/>
    <col min="13528" max="13528" width="7.28515625" style="1046" customWidth="1"/>
    <col min="13529" max="13529" width="9.5703125" style="1046" customWidth="1"/>
    <col min="13530" max="13530" width="17" style="1046" customWidth="1"/>
    <col min="13531" max="13531" width="0" style="1046" hidden="1" customWidth="1"/>
    <col min="13532" max="13532" width="15.140625" style="1046" customWidth="1"/>
    <col min="13533" max="13533" width="13.85546875" style="1046" customWidth="1"/>
    <col min="13534" max="13534" width="4.42578125" style="1046" customWidth="1"/>
    <col min="13535" max="13535" width="12.28515625" style="1046" customWidth="1"/>
    <col min="13536" max="13536" width="6" style="1046" customWidth="1"/>
    <col min="13537" max="13537" width="19.85546875" style="1046" customWidth="1"/>
    <col min="13538" max="13538" width="5.140625" style="1046" customWidth="1"/>
    <col min="13539" max="13539" width="17.28515625" style="1046" bestFit="1" customWidth="1"/>
    <col min="13540" max="13541" width="0" style="1046" hidden="1" customWidth="1"/>
    <col min="13542" max="13542" width="5.85546875" style="1046" customWidth="1"/>
    <col min="13543" max="13543" width="10.42578125" style="1046" customWidth="1"/>
    <col min="13544" max="13544" width="15.42578125" style="1046" customWidth="1"/>
    <col min="13545" max="13545" width="11.85546875" style="1046" customWidth="1"/>
    <col min="13546" max="13546" width="16.42578125" style="1046" customWidth="1"/>
    <col min="13547" max="13547" width="17.28515625" style="1046" customWidth="1"/>
    <col min="13548" max="13548" width="19" style="1046" bestFit="1" customWidth="1"/>
    <col min="13549" max="13549" width="20" style="1046" customWidth="1"/>
    <col min="13550" max="13550" width="18.7109375" style="1046" bestFit="1" customWidth="1"/>
    <col min="13551" max="13551" width="17.85546875" style="1046" bestFit="1" customWidth="1"/>
    <col min="13552" max="13552" width="16.42578125" style="1046" bestFit="1" customWidth="1"/>
    <col min="13553" max="13567" width="9.140625" style="1046"/>
    <col min="13568" max="13568" width="6.85546875" style="1046" customWidth="1"/>
    <col min="13569" max="13569" width="54.85546875" style="1046" customWidth="1"/>
    <col min="13570" max="13570" width="0" style="1046" hidden="1" customWidth="1"/>
    <col min="13571" max="13571" width="12.7109375" style="1046" customWidth="1"/>
    <col min="13572" max="13572" width="13.85546875" style="1046" customWidth="1"/>
    <col min="13573" max="13573" width="19.42578125" style="1046" customWidth="1"/>
    <col min="13574" max="13574" width="9.28515625" style="1046" customWidth="1"/>
    <col min="13575" max="13575" width="11.85546875" style="1046" customWidth="1"/>
    <col min="13576" max="13576" width="16.42578125" style="1046" customWidth="1"/>
    <col min="13577" max="13577" width="0" style="1046" hidden="1" customWidth="1"/>
    <col min="13578" max="13578" width="16.5703125" style="1046" customWidth="1"/>
    <col min="13579" max="13580" width="0" style="1046" hidden="1" customWidth="1"/>
    <col min="13581" max="13582" width="16.5703125" style="1046" customWidth="1"/>
    <col min="13583" max="13583" width="5.140625" style="1046" customWidth="1"/>
    <col min="13584" max="13584" width="16.5703125" style="1046" customWidth="1"/>
    <col min="13585" max="13585" width="5.140625" style="1046" customWidth="1"/>
    <col min="13586" max="13586" width="16.5703125" style="1046" customWidth="1"/>
    <col min="13587" max="13587" width="5.140625" style="1046" customWidth="1"/>
    <col min="13588" max="13588" width="16.5703125" style="1046" customWidth="1"/>
    <col min="13589" max="13589" width="5.140625" style="1046" customWidth="1"/>
    <col min="13590" max="13590" width="15.28515625" style="1046" customWidth="1"/>
    <col min="13591" max="13591" width="4.7109375" style="1046" customWidth="1"/>
    <col min="13592" max="13592" width="0" style="1046" hidden="1" customWidth="1"/>
    <col min="13593" max="13593" width="6.5703125" style="1046" customWidth="1"/>
    <col min="13594" max="13594" width="10.5703125" style="1046" customWidth="1"/>
    <col min="13595" max="13595" width="17.42578125" style="1046" customWidth="1"/>
    <col min="13596" max="13596" width="7.7109375" style="1046" customWidth="1"/>
    <col min="13597" max="13597" width="15.42578125" style="1046" customWidth="1"/>
    <col min="13598" max="13598" width="16.42578125" style="1046" customWidth="1"/>
    <col min="13599" max="13599" width="17.28515625" style="1046" customWidth="1"/>
    <col min="13600" max="13600" width="0" style="1046" hidden="1" customWidth="1"/>
    <col min="13601" max="13601" width="19" style="1046" customWidth="1"/>
    <col min="13602" max="13604" width="26" style="1046" customWidth="1"/>
    <col min="13605" max="13605" width="35.42578125" style="1046" customWidth="1"/>
    <col min="13606" max="13606" width="27.5703125" style="1046" customWidth="1"/>
    <col min="13607" max="13607" width="9.140625" style="1046"/>
    <col min="13608" max="13608" width="26.7109375" style="1046" customWidth="1"/>
    <col min="13609" max="13609" width="17.28515625" style="1046" customWidth="1"/>
    <col min="13610" max="13775" width="9.140625" style="1046"/>
    <col min="13776" max="13777" width="3" style="1046" customWidth="1"/>
    <col min="13778" max="13778" width="4.42578125" style="1046" bestFit="1" customWidth="1"/>
    <col min="13779" max="13779" width="59.140625" style="1046" customWidth="1"/>
    <col min="13780" max="13780" width="0" style="1046" hidden="1" customWidth="1"/>
    <col min="13781" max="13781" width="12.7109375" style="1046" customWidth="1"/>
    <col min="13782" max="13782" width="8.28515625" style="1046" customWidth="1"/>
    <col min="13783" max="13783" width="14.42578125" style="1046" customWidth="1"/>
    <col min="13784" max="13784" width="7.28515625" style="1046" customWidth="1"/>
    <col min="13785" max="13785" width="9.5703125" style="1046" customWidth="1"/>
    <col min="13786" max="13786" width="17" style="1046" customWidth="1"/>
    <col min="13787" max="13787" width="0" style="1046" hidden="1" customWidth="1"/>
    <col min="13788" max="13788" width="15.140625" style="1046" customWidth="1"/>
    <col min="13789" max="13789" width="13.85546875" style="1046" customWidth="1"/>
    <col min="13790" max="13790" width="4.42578125" style="1046" customWidth="1"/>
    <col min="13791" max="13791" width="12.28515625" style="1046" customWidth="1"/>
    <col min="13792" max="13792" width="6" style="1046" customWidth="1"/>
    <col min="13793" max="13793" width="19.85546875" style="1046" customWidth="1"/>
    <col min="13794" max="13794" width="5.140625" style="1046" customWidth="1"/>
    <col min="13795" max="13795" width="17.28515625" style="1046" bestFit="1" customWidth="1"/>
    <col min="13796" max="13797" width="0" style="1046" hidden="1" customWidth="1"/>
    <col min="13798" max="13798" width="5.85546875" style="1046" customWidth="1"/>
    <col min="13799" max="13799" width="10.42578125" style="1046" customWidth="1"/>
    <col min="13800" max="13800" width="15.42578125" style="1046" customWidth="1"/>
    <col min="13801" max="13801" width="11.85546875" style="1046" customWidth="1"/>
    <col min="13802" max="13802" width="16.42578125" style="1046" customWidth="1"/>
    <col min="13803" max="13803" width="17.28515625" style="1046" customWidth="1"/>
    <col min="13804" max="13804" width="19" style="1046" bestFit="1" customWidth="1"/>
    <col min="13805" max="13805" width="20" style="1046" customWidth="1"/>
    <col min="13806" max="13806" width="18.7109375" style="1046" bestFit="1" customWidth="1"/>
    <col min="13807" max="13807" width="17.85546875" style="1046" bestFit="1" customWidth="1"/>
    <col min="13808" max="13808" width="16.42578125" style="1046" bestFit="1" customWidth="1"/>
    <col min="13809" max="13823" width="9.140625" style="1046"/>
    <col min="13824" max="13824" width="6.85546875" style="1046" customWidth="1"/>
    <col min="13825" max="13825" width="54.85546875" style="1046" customWidth="1"/>
    <col min="13826" max="13826" width="0" style="1046" hidden="1" customWidth="1"/>
    <col min="13827" max="13827" width="12.7109375" style="1046" customWidth="1"/>
    <col min="13828" max="13828" width="13.85546875" style="1046" customWidth="1"/>
    <col min="13829" max="13829" width="19.42578125" style="1046" customWidth="1"/>
    <col min="13830" max="13830" width="9.28515625" style="1046" customWidth="1"/>
    <col min="13831" max="13831" width="11.85546875" style="1046" customWidth="1"/>
    <col min="13832" max="13832" width="16.42578125" style="1046" customWidth="1"/>
    <col min="13833" max="13833" width="0" style="1046" hidden="1" customWidth="1"/>
    <col min="13834" max="13834" width="16.5703125" style="1046" customWidth="1"/>
    <col min="13835" max="13836" width="0" style="1046" hidden="1" customWidth="1"/>
    <col min="13837" max="13838" width="16.5703125" style="1046" customWidth="1"/>
    <col min="13839" max="13839" width="5.140625" style="1046" customWidth="1"/>
    <col min="13840" max="13840" width="16.5703125" style="1046" customWidth="1"/>
    <col min="13841" max="13841" width="5.140625" style="1046" customWidth="1"/>
    <col min="13842" max="13842" width="16.5703125" style="1046" customWidth="1"/>
    <col min="13843" max="13843" width="5.140625" style="1046" customWidth="1"/>
    <col min="13844" max="13844" width="16.5703125" style="1046" customWidth="1"/>
    <col min="13845" max="13845" width="5.140625" style="1046" customWidth="1"/>
    <col min="13846" max="13846" width="15.28515625" style="1046" customWidth="1"/>
    <col min="13847" max="13847" width="4.7109375" style="1046" customWidth="1"/>
    <col min="13848" max="13848" width="0" style="1046" hidden="1" customWidth="1"/>
    <col min="13849" max="13849" width="6.5703125" style="1046" customWidth="1"/>
    <col min="13850" max="13850" width="10.5703125" style="1046" customWidth="1"/>
    <col min="13851" max="13851" width="17.42578125" style="1046" customWidth="1"/>
    <col min="13852" max="13852" width="7.7109375" style="1046" customWidth="1"/>
    <col min="13853" max="13853" width="15.42578125" style="1046" customWidth="1"/>
    <col min="13854" max="13854" width="16.42578125" style="1046" customWidth="1"/>
    <col min="13855" max="13855" width="17.28515625" style="1046" customWidth="1"/>
    <col min="13856" max="13856" width="0" style="1046" hidden="1" customWidth="1"/>
    <col min="13857" max="13857" width="19" style="1046" customWidth="1"/>
    <col min="13858" max="13860" width="26" style="1046" customWidth="1"/>
    <col min="13861" max="13861" width="35.42578125" style="1046" customWidth="1"/>
    <col min="13862" max="13862" width="27.5703125" style="1046" customWidth="1"/>
    <col min="13863" max="13863" width="9.140625" style="1046"/>
    <col min="13864" max="13864" width="26.7109375" style="1046" customWidth="1"/>
    <col min="13865" max="13865" width="17.28515625" style="1046" customWidth="1"/>
    <col min="13866" max="14031" width="9.140625" style="1046"/>
    <col min="14032" max="14033" width="3" style="1046" customWidth="1"/>
    <col min="14034" max="14034" width="4.42578125" style="1046" bestFit="1" customWidth="1"/>
    <col min="14035" max="14035" width="59.140625" style="1046" customWidth="1"/>
    <col min="14036" max="14036" width="0" style="1046" hidden="1" customWidth="1"/>
    <col min="14037" max="14037" width="12.7109375" style="1046" customWidth="1"/>
    <col min="14038" max="14038" width="8.28515625" style="1046" customWidth="1"/>
    <col min="14039" max="14039" width="14.42578125" style="1046" customWidth="1"/>
    <col min="14040" max="14040" width="7.28515625" style="1046" customWidth="1"/>
    <col min="14041" max="14041" width="9.5703125" style="1046" customWidth="1"/>
    <col min="14042" max="14042" width="17" style="1046" customWidth="1"/>
    <col min="14043" max="14043" width="0" style="1046" hidden="1" customWidth="1"/>
    <col min="14044" max="14044" width="15.140625" style="1046" customWidth="1"/>
    <col min="14045" max="14045" width="13.85546875" style="1046" customWidth="1"/>
    <col min="14046" max="14046" width="4.42578125" style="1046" customWidth="1"/>
    <col min="14047" max="14047" width="12.28515625" style="1046" customWidth="1"/>
    <col min="14048" max="14048" width="6" style="1046" customWidth="1"/>
    <col min="14049" max="14049" width="19.85546875" style="1046" customWidth="1"/>
    <col min="14050" max="14050" width="5.140625" style="1046" customWidth="1"/>
    <col min="14051" max="14051" width="17.28515625" style="1046" bestFit="1" customWidth="1"/>
    <col min="14052" max="14053" width="0" style="1046" hidden="1" customWidth="1"/>
    <col min="14054" max="14054" width="5.85546875" style="1046" customWidth="1"/>
    <col min="14055" max="14055" width="10.42578125" style="1046" customWidth="1"/>
    <col min="14056" max="14056" width="15.42578125" style="1046" customWidth="1"/>
    <col min="14057" max="14057" width="11.85546875" style="1046" customWidth="1"/>
    <col min="14058" max="14058" width="16.42578125" style="1046" customWidth="1"/>
    <col min="14059" max="14059" width="17.28515625" style="1046" customWidth="1"/>
    <col min="14060" max="14060" width="19" style="1046" bestFit="1" customWidth="1"/>
    <col min="14061" max="14061" width="20" style="1046" customWidth="1"/>
    <col min="14062" max="14062" width="18.7109375" style="1046" bestFit="1" customWidth="1"/>
    <col min="14063" max="14063" width="17.85546875" style="1046" bestFit="1" customWidth="1"/>
    <col min="14064" max="14064" width="16.42578125" style="1046" bestFit="1" customWidth="1"/>
    <col min="14065" max="14079" width="9.140625" style="1046"/>
    <col min="14080" max="14080" width="6.85546875" style="1046" customWidth="1"/>
    <col min="14081" max="14081" width="54.85546875" style="1046" customWidth="1"/>
    <col min="14082" max="14082" width="0" style="1046" hidden="1" customWidth="1"/>
    <col min="14083" max="14083" width="12.7109375" style="1046" customWidth="1"/>
    <col min="14084" max="14084" width="13.85546875" style="1046" customWidth="1"/>
    <col min="14085" max="14085" width="19.42578125" style="1046" customWidth="1"/>
    <col min="14086" max="14086" width="9.28515625" style="1046" customWidth="1"/>
    <col min="14087" max="14087" width="11.85546875" style="1046" customWidth="1"/>
    <col min="14088" max="14088" width="16.42578125" style="1046" customWidth="1"/>
    <col min="14089" max="14089" width="0" style="1046" hidden="1" customWidth="1"/>
    <col min="14090" max="14090" width="16.5703125" style="1046" customWidth="1"/>
    <col min="14091" max="14092" width="0" style="1046" hidden="1" customWidth="1"/>
    <col min="14093" max="14094" width="16.5703125" style="1046" customWidth="1"/>
    <col min="14095" max="14095" width="5.140625" style="1046" customWidth="1"/>
    <col min="14096" max="14096" width="16.5703125" style="1046" customWidth="1"/>
    <col min="14097" max="14097" width="5.140625" style="1046" customWidth="1"/>
    <col min="14098" max="14098" width="16.5703125" style="1046" customWidth="1"/>
    <col min="14099" max="14099" width="5.140625" style="1046" customWidth="1"/>
    <col min="14100" max="14100" width="16.5703125" style="1046" customWidth="1"/>
    <col min="14101" max="14101" width="5.140625" style="1046" customWidth="1"/>
    <col min="14102" max="14102" width="15.28515625" style="1046" customWidth="1"/>
    <col min="14103" max="14103" width="4.7109375" style="1046" customWidth="1"/>
    <col min="14104" max="14104" width="0" style="1046" hidden="1" customWidth="1"/>
    <col min="14105" max="14105" width="6.5703125" style="1046" customWidth="1"/>
    <col min="14106" max="14106" width="10.5703125" style="1046" customWidth="1"/>
    <col min="14107" max="14107" width="17.42578125" style="1046" customWidth="1"/>
    <col min="14108" max="14108" width="7.7109375" style="1046" customWidth="1"/>
    <col min="14109" max="14109" width="15.42578125" style="1046" customWidth="1"/>
    <col min="14110" max="14110" width="16.42578125" style="1046" customWidth="1"/>
    <col min="14111" max="14111" width="17.28515625" style="1046" customWidth="1"/>
    <col min="14112" max="14112" width="0" style="1046" hidden="1" customWidth="1"/>
    <col min="14113" max="14113" width="19" style="1046" customWidth="1"/>
    <col min="14114" max="14116" width="26" style="1046" customWidth="1"/>
    <col min="14117" max="14117" width="35.42578125" style="1046" customWidth="1"/>
    <col min="14118" max="14118" width="27.5703125" style="1046" customWidth="1"/>
    <col min="14119" max="14119" width="9.140625" style="1046"/>
    <col min="14120" max="14120" width="26.7109375" style="1046" customWidth="1"/>
    <col min="14121" max="14121" width="17.28515625" style="1046" customWidth="1"/>
    <col min="14122" max="14287" width="9.140625" style="1046"/>
    <col min="14288" max="14289" width="3" style="1046" customWidth="1"/>
    <col min="14290" max="14290" width="4.42578125" style="1046" bestFit="1" customWidth="1"/>
    <col min="14291" max="14291" width="59.140625" style="1046" customWidth="1"/>
    <col min="14292" max="14292" width="0" style="1046" hidden="1" customWidth="1"/>
    <col min="14293" max="14293" width="12.7109375" style="1046" customWidth="1"/>
    <col min="14294" max="14294" width="8.28515625" style="1046" customWidth="1"/>
    <col min="14295" max="14295" width="14.42578125" style="1046" customWidth="1"/>
    <col min="14296" max="14296" width="7.28515625" style="1046" customWidth="1"/>
    <col min="14297" max="14297" width="9.5703125" style="1046" customWidth="1"/>
    <col min="14298" max="14298" width="17" style="1046" customWidth="1"/>
    <col min="14299" max="14299" width="0" style="1046" hidden="1" customWidth="1"/>
    <col min="14300" max="14300" width="15.140625" style="1046" customWidth="1"/>
    <col min="14301" max="14301" width="13.85546875" style="1046" customWidth="1"/>
    <col min="14302" max="14302" width="4.42578125" style="1046" customWidth="1"/>
    <col min="14303" max="14303" width="12.28515625" style="1046" customWidth="1"/>
    <col min="14304" max="14304" width="6" style="1046" customWidth="1"/>
    <col min="14305" max="14305" width="19.85546875" style="1046" customWidth="1"/>
    <col min="14306" max="14306" width="5.140625" style="1046" customWidth="1"/>
    <col min="14307" max="14307" width="17.28515625" style="1046" bestFit="1" customWidth="1"/>
    <col min="14308" max="14309" width="0" style="1046" hidden="1" customWidth="1"/>
    <col min="14310" max="14310" width="5.85546875" style="1046" customWidth="1"/>
    <col min="14311" max="14311" width="10.42578125" style="1046" customWidth="1"/>
    <col min="14312" max="14312" width="15.42578125" style="1046" customWidth="1"/>
    <col min="14313" max="14313" width="11.85546875" style="1046" customWidth="1"/>
    <col min="14314" max="14314" width="16.42578125" style="1046" customWidth="1"/>
    <col min="14315" max="14315" width="17.28515625" style="1046" customWidth="1"/>
    <col min="14316" max="14316" width="19" style="1046" bestFit="1" customWidth="1"/>
    <col min="14317" max="14317" width="20" style="1046" customWidth="1"/>
    <col min="14318" max="14318" width="18.7109375" style="1046" bestFit="1" customWidth="1"/>
    <col min="14319" max="14319" width="17.85546875" style="1046" bestFit="1" customWidth="1"/>
    <col min="14320" max="14320" width="16.42578125" style="1046" bestFit="1" customWidth="1"/>
    <col min="14321" max="14335" width="9.140625" style="1046"/>
    <col min="14336" max="14336" width="6.85546875" style="1046" customWidth="1"/>
    <col min="14337" max="14337" width="54.85546875" style="1046" customWidth="1"/>
    <col min="14338" max="14338" width="0" style="1046" hidden="1" customWidth="1"/>
    <col min="14339" max="14339" width="12.7109375" style="1046" customWidth="1"/>
    <col min="14340" max="14340" width="13.85546875" style="1046" customWidth="1"/>
    <col min="14341" max="14341" width="19.42578125" style="1046" customWidth="1"/>
    <col min="14342" max="14342" width="9.28515625" style="1046" customWidth="1"/>
    <col min="14343" max="14343" width="11.85546875" style="1046" customWidth="1"/>
    <col min="14344" max="14344" width="16.42578125" style="1046" customWidth="1"/>
    <col min="14345" max="14345" width="0" style="1046" hidden="1" customWidth="1"/>
    <col min="14346" max="14346" width="16.5703125" style="1046" customWidth="1"/>
    <col min="14347" max="14348" width="0" style="1046" hidden="1" customWidth="1"/>
    <col min="14349" max="14350" width="16.5703125" style="1046" customWidth="1"/>
    <col min="14351" max="14351" width="5.140625" style="1046" customWidth="1"/>
    <col min="14352" max="14352" width="16.5703125" style="1046" customWidth="1"/>
    <col min="14353" max="14353" width="5.140625" style="1046" customWidth="1"/>
    <col min="14354" max="14354" width="16.5703125" style="1046" customWidth="1"/>
    <col min="14355" max="14355" width="5.140625" style="1046" customWidth="1"/>
    <col min="14356" max="14356" width="16.5703125" style="1046" customWidth="1"/>
    <col min="14357" max="14357" width="5.140625" style="1046" customWidth="1"/>
    <col min="14358" max="14358" width="15.28515625" style="1046" customWidth="1"/>
    <col min="14359" max="14359" width="4.7109375" style="1046" customWidth="1"/>
    <col min="14360" max="14360" width="0" style="1046" hidden="1" customWidth="1"/>
    <col min="14361" max="14361" width="6.5703125" style="1046" customWidth="1"/>
    <col min="14362" max="14362" width="10.5703125" style="1046" customWidth="1"/>
    <col min="14363" max="14363" width="17.42578125" style="1046" customWidth="1"/>
    <col min="14364" max="14364" width="7.7109375" style="1046" customWidth="1"/>
    <col min="14365" max="14365" width="15.42578125" style="1046" customWidth="1"/>
    <col min="14366" max="14366" width="16.42578125" style="1046" customWidth="1"/>
    <col min="14367" max="14367" width="17.28515625" style="1046" customWidth="1"/>
    <col min="14368" max="14368" width="0" style="1046" hidden="1" customWidth="1"/>
    <col min="14369" max="14369" width="19" style="1046" customWidth="1"/>
    <col min="14370" max="14372" width="26" style="1046" customWidth="1"/>
    <col min="14373" max="14373" width="35.42578125" style="1046" customWidth="1"/>
    <col min="14374" max="14374" width="27.5703125" style="1046" customWidth="1"/>
    <col min="14375" max="14375" width="9.140625" style="1046"/>
    <col min="14376" max="14376" width="26.7109375" style="1046" customWidth="1"/>
    <col min="14377" max="14377" width="17.28515625" style="1046" customWidth="1"/>
    <col min="14378" max="14543" width="9.140625" style="1046"/>
    <col min="14544" max="14545" width="3" style="1046" customWidth="1"/>
    <col min="14546" max="14546" width="4.42578125" style="1046" bestFit="1" customWidth="1"/>
    <col min="14547" max="14547" width="59.140625" style="1046" customWidth="1"/>
    <col min="14548" max="14548" width="0" style="1046" hidden="1" customWidth="1"/>
    <col min="14549" max="14549" width="12.7109375" style="1046" customWidth="1"/>
    <col min="14550" max="14550" width="8.28515625" style="1046" customWidth="1"/>
    <col min="14551" max="14551" width="14.42578125" style="1046" customWidth="1"/>
    <col min="14552" max="14552" width="7.28515625" style="1046" customWidth="1"/>
    <col min="14553" max="14553" width="9.5703125" style="1046" customWidth="1"/>
    <col min="14554" max="14554" width="17" style="1046" customWidth="1"/>
    <col min="14555" max="14555" width="0" style="1046" hidden="1" customWidth="1"/>
    <col min="14556" max="14556" width="15.140625" style="1046" customWidth="1"/>
    <col min="14557" max="14557" width="13.85546875" style="1046" customWidth="1"/>
    <col min="14558" max="14558" width="4.42578125" style="1046" customWidth="1"/>
    <col min="14559" max="14559" width="12.28515625" style="1046" customWidth="1"/>
    <col min="14560" max="14560" width="6" style="1046" customWidth="1"/>
    <col min="14561" max="14561" width="19.85546875" style="1046" customWidth="1"/>
    <col min="14562" max="14562" width="5.140625" style="1046" customWidth="1"/>
    <col min="14563" max="14563" width="17.28515625" style="1046" bestFit="1" customWidth="1"/>
    <col min="14564" max="14565" width="0" style="1046" hidden="1" customWidth="1"/>
    <col min="14566" max="14566" width="5.85546875" style="1046" customWidth="1"/>
    <col min="14567" max="14567" width="10.42578125" style="1046" customWidth="1"/>
    <col min="14568" max="14568" width="15.42578125" style="1046" customWidth="1"/>
    <col min="14569" max="14569" width="11.85546875" style="1046" customWidth="1"/>
    <col min="14570" max="14570" width="16.42578125" style="1046" customWidth="1"/>
    <col min="14571" max="14571" width="17.28515625" style="1046" customWidth="1"/>
    <col min="14572" max="14572" width="19" style="1046" bestFit="1" customWidth="1"/>
    <col min="14573" max="14573" width="20" style="1046" customWidth="1"/>
    <col min="14574" max="14574" width="18.7109375" style="1046" bestFit="1" customWidth="1"/>
    <col min="14575" max="14575" width="17.85546875" style="1046" bestFit="1" customWidth="1"/>
    <col min="14576" max="14576" width="16.42578125" style="1046" bestFit="1" customWidth="1"/>
    <col min="14577" max="14591" width="9.140625" style="1046"/>
    <col min="14592" max="14592" width="6.85546875" style="1046" customWidth="1"/>
    <col min="14593" max="14593" width="54.85546875" style="1046" customWidth="1"/>
    <col min="14594" max="14594" width="0" style="1046" hidden="1" customWidth="1"/>
    <col min="14595" max="14595" width="12.7109375" style="1046" customWidth="1"/>
    <col min="14596" max="14596" width="13.85546875" style="1046" customWidth="1"/>
    <col min="14597" max="14597" width="19.42578125" style="1046" customWidth="1"/>
    <col min="14598" max="14598" width="9.28515625" style="1046" customWidth="1"/>
    <col min="14599" max="14599" width="11.85546875" style="1046" customWidth="1"/>
    <col min="14600" max="14600" width="16.42578125" style="1046" customWidth="1"/>
    <col min="14601" max="14601" width="0" style="1046" hidden="1" customWidth="1"/>
    <col min="14602" max="14602" width="16.5703125" style="1046" customWidth="1"/>
    <col min="14603" max="14604" width="0" style="1046" hidden="1" customWidth="1"/>
    <col min="14605" max="14606" width="16.5703125" style="1046" customWidth="1"/>
    <col min="14607" max="14607" width="5.140625" style="1046" customWidth="1"/>
    <col min="14608" max="14608" width="16.5703125" style="1046" customWidth="1"/>
    <col min="14609" max="14609" width="5.140625" style="1046" customWidth="1"/>
    <col min="14610" max="14610" width="16.5703125" style="1046" customWidth="1"/>
    <col min="14611" max="14611" width="5.140625" style="1046" customWidth="1"/>
    <col min="14612" max="14612" width="16.5703125" style="1046" customWidth="1"/>
    <col min="14613" max="14613" width="5.140625" style="1046" customWidth="1"/>
    <col min="14614" max="14614" width="15.28515625" style="1046" customWidth="1"/>
    <col min="14615" max="14615" width="4.7109375" style="1046" customWidth="1"/>
    <col min="14616" max="14616" width="0" style="1046" hidden="1" customWidth="1"/>
    <col min="14617" max="14617" width="6.5703125" style="1046" customWidth="1"/>
    <col min="14618" max="14618" width="10.5703125" style="1046" customWidth="1"/>
    <col min="14619" max="14619" width="17.42578125" style="1046" customWidth="1"/>
    <col min="14620" max="14620" width="7.7109375" style="1046" customWidth="1"/>
    <col min="14621" max="14621" width="15.42578125" style="1046" customWidth="1"/>
    <col min="14622" max="14622" width="16.42578125" style="1046" customWidth="1"/>
    <col min="14623" max="14623" width="17.28515625" style="1046" customWidth="1"/>
    <col min="14624" max="14624" width="0" style="1046" hidden="1" customWidth="1"/>
    <col min="14625" max="14625" width="19" style="1046" customWidth="1"/>
    <col min="14626" max="14628" width="26" style="1046" customWidth="1"/>
    <col min="14629" max="14629" width="35.42578125" style="1046" customWidth="1"/>
    <col min="14630" max="14630" width="27.5703125" style="1046" customWidth="1"/>
    <col min="14631" max="14631" width="9.140625" style="1046"/>
    <col min="14632" max="14632" width="26.7109375" style="1046" customWidth="1"/>
    <col min="14633" max="14633" width="17.28515625" style="1046" customWidth="1"/>
    <col min="14634" max="14799" width="9.140625" style="1046"/>
    <col min="14800" max="14801" width="3" style="1046" customWidth="1"/>
    <col min="14802" max="14802" width="4.42578125" style="1046" bestFit="1" customWidth="1"/>
    <col min="14803" max="14803" width="59.140625" style="1046" customWidth="1"/>
    <col min="14804" max="14804" width="0" style="1046" hidden="1" customWidth="1"/>
    <col min="14805" max="14805" width="12.7109375" style="1046" customWidth="1"/>
    <col min="14806" max="14806" width="8.28515625" style="1046" customWidth="1"/>
    <col min="14807" max="14807" width="14.42578125" style="1046" customWidth="1"/>
    <col min="14808" max="14808" width="7.28515625" style="1046" customWidth="1"/>
    <col min="14809" max="14809" width="9.5703125" style="1046" customWidth="1"/>
    <col min="14810" max="14810" width="17" style="1046" customWidth="1"/>
    <col min="14811" max="14811" width="0" style="1046" hidden="1" customWidth="1"/>
    <col min="14812" max="14812" width="15.140625" style="1046" customWidth="1"/>
    <col min="14813" max="14813" width="13.85546875" style="1046" customWidth="1"/>
    <col min="14814" max="14814" width="4.42578125" style="1046" customWidth="1"/>
    <col min="14815" max="14815" width="12.28515625" style="1046" customWidth="1"/>
    <col min="14816" max="14816" width="6" style="1046" customWidth="1"/>
    <col min="14817" max="14817" width="19.85546875" style="1046" customWidth="1"/>
    <col min="14818" max="14818" width="5.140625" style="1046" customWidth="1"/>
    <col min="14819" max="14819" width="17.28515625" style="1046" bestFit="1" customWidth="1"/>
    <col min="14820" max="14821" width="0" style="1046" hidden="1" customWidth="1"/>
    <col min="14822" max="14822" width="5.85546875" style="1046" customWidth="1"/>
    <col min="14823" max="14823" width="10.42578125" style="1046" customWidth="1"/>
    <col min="14824" max="14824" width="15.42578125" style="1046" customWidth="1"/>
    <col min="14825" max="14825" width="11.85546875" style="1046" customWidth="1"/>
    <col min="14826" max="14826" width="16.42578125" style="1046" customWidth="1"/>
    <col min="14827" max="14827" width="17.28515625" style="1046" customWidth="1"/>
    <col min="14828" max="14828" width="19" style="1046" bestFit="1" customWidth="1"/>
    <col min="14829" max="14829" width="20" style="1046" customWidth="1"/>
    <col min="14830" max="14830" width="18.7109375" style="1046" bestFit="1" customWidth="1"/>
    <col min="14831" max="14831" width="17.85546875" style="1046" bestFit="1" customWidth="1"/>
    <col min="14832" max="14832" width="16.42578125" style="1046" bestFit="1" customWidth="1"/>
    <col min="14833" max="14847" width="9.140625" style="1046"/>
    <col min="14848" max="14848" width="6.85546875" style="1046" customWidth="1"/>
    <col min="14849" max="14849" width="54.85546875" style="1046" customWidth="1"/>
    <col min="14850" max="14850" width="0" style="1046" hidden="1" customWidth="1"/>
    <col min="14851" max="14851" width="12.7109375" style="1046" customWidth="1"/>
    <col min="14852" max="14852" width="13.85546875" style="1046" customWidth="1"/>
    <col min="14853" max="14853" width="19.42578125" style="1046" customWidth="1"/>
    <col min="14854" max="14854" width="9.28515625" style="1046" customWidth="1"/>
    <col min="14855" max="14855" width="11.85546875" style="1046" customWidth="1"/>
    <col min="14856" max="14856" width="16.42578125" style="1046" customWidth="1"/>
    <col min="14857" max="14857" width="0" style="1046" hidden="1" customWidth="1"/>
    <col min="14858" max="14858" width="16.5703125" style="1046" customWidth="1"/>
    <col min="14859" max="14860" width="0" style="1046" hidden="1" customWidth="1"/>
    <col min="14861" max="14862" width="16.5703125" style="1046" customWidth="1"/>
    <col min="14863" max="14863" width="5.140625" style="1046" customWidth="1"/>
    <col min="14864" max="14864" width="16.5703125" style="1046" customWidth="1"/>
    <col min="14865" max="14865" width="5.140625" style="1046" customWidth="1"/>
    <col min="14866" max="14866" width="16.5703125" style="1046" customWidth="1"/>
    <col min="14867" max="14867" width="5.140625" style="1046" customWidth="1"/>
    <col min="14868" max="14868" width="16.5703125" style="1046" customWidth="1"/>
    <col min="14869" max="14869" width="5.140625" style="1046" customWidth="1"/>
    <col min="14870" max="14870" width="15.28515625" style="1046" customWidth="1"/>
    <col min="14871" max="14871" width="4.7109375" style="1046" customWidth="1"/>
    <col min="14872" max="14872" width="0" style="1046" hidden="1" customWidth="1"/>
    <col min="14873" max="14873" width="6.5703125" style="1046" customWidth="1"/>
    <col min="14874" max="14874" width="10.5703125" style="1046" customWidth="1"/>
    <col min="14875" max="14875" width="17.42578125" style="1046" customWidth="1"/>
    <col min="14876" max="14876" width="7.7109375" style="1046" customWidth="1"/>
    <col min="14877" max="14877" width="15.42578125" style="1046" customWidth="1"/>
    <col min="14878" max="14878" width="16.42578125" style="1046" customWidth="1"/>
    <col min="14879" max="14879" width="17.28515625" style="1046" customWidth="1"/>
    <col min="14880" max="14880" width="0" style="1046" hidden="1" customWidth="1"/>
    <col min="14881" max="14881" width="19" style="1046" customWidth="1"/>
    <col min="14882" max="14884" width="26" style="1046" customWidth="1"/>
    <col min="14885" max="14885" width="35.42578125" style="1046" customWidth="1"/>
    <col min="14886" max="14886" width="27.5703125" style="1046" customWidth="1"/>
    <col min="14887" max="14887" width="9.140625" style="1046"/>
    <col min="14888" max="14888" width="26.7109375" style="1046" customWidth="1"/>
    <col min="14889" max="14889" width="17.28515625" style="1046" customWidth="1"/>
    <col min="14890" max="15055" width="9.140625" style="1046"/>
    <col min="15056" max="15057" width="3" style="1046" customWidth="1"/>
    <col min="15058" max="15058" width="4.42578125" style="1046" bestFit="1" customWidth="1"/>
    <col min="15059" max="15059" width="59.140625" style="1046" customWidth="1"/>
    <col min="15060" max="15060" width="0" style="1046" hidden="1" customWidth="1"/>
    <col min="15061" max="15061" width="12.7109375" style="1046" customWidth="1"/>
    <col min="15062" max="15062" width="8.28515625" style="1046" customWidth="1"/>
    <col min="15063" max="15063" width="14.42578125" style="1046" customWidth="1"/>
    <col min="15064" max="15064" width="7.28515625" style="1046" customWidth="1"/>
    <col min="15065" max="15065" width="9.5703125" style="1046" customWidth="1"/>
    <col min="15066" max="15066" width="17" style="1046" customWidth="1"/>
    <col min="15067" max="15067" width="0" style="1046" hidden="1" customWidth="1"/>
    <col min="15068" max="15068" width="15.140625" style="1046" customWidth="1"/>
    <col min="15069" max="15069" width="13.85546875" style="1046" customWidth="1"/>
    <col min="15070" max="15070" width="4.42578125" style="1046" customWidth="1"/>
    <col min="15071" max="15071" width="12.28515625" style="1046" customWidth="1"/>
    <col min="15072" max="15072" width="6" style="1046" customWidth="1"/>
    <col min="15073" max="15073" width="19.85546875" style="1046" customWidth="1"/>
    <col min="15074" max="15074" width="5.140625" style="1046" customWidth="1"/>
    <col min="15075" max="15075" width="17.28515625" style="1046" bestFit="1" customWidth="1"/>
    <col min="15076" max="15077" width="0" style="1046" hidden="1" customWidth="1"/>
    <col min="15078" max="15078" width="5.85546875" style="1046" customWidth="1"/>
    <col min="15079" max="15079" width="10.42578125" style="1046" customWidth="1"/>
    <col min="15080" max="15080" width="15.42578125" style="1046" customWidth="1"/>
    <col min="15081" max="15081" width="11.85546875" style="1046" customWidth="1"/>
    <col min="15082" max="15082" width="16.42578125" style="1046" customWidth="1"/>
    <col min="15083" max="15083" width="17.28515625" style="1046" customWidth="1"/>
    <col min="15084" max="15084" width="19" style="1046" bestFit="1" customWidth="1"/>
    <col min="15085" max="15085" width="20" style="1046" customWidth="1"/>
    <col min="15086" max="15086" width="18.7109375" style="1046" bestFit="1" customWidth="1"/>
    <col min="15087" max="15087" width="17.85546875" style="1046" bestFit="1" customWidth="1"/>
    <col min="15088" max="15088" width="16.42578125" style="1046" bestFit="1" customWidth="1"/>
    <col min="15089" max="15103" width="9.140625" style="1046"/>
    <col min="15104" max="15104" width="6.85546875" style="1046" customWidth="1"/>
    <col min="15105" max="15105" width="54.85546875" style="1046" customWidth="1"/>
    <col min="15106" max="15106" width="0" style="1046" hidden="1" customWidth="1"/>
    <col min="15107" max="15107" width="12.7109375" style="1046" customWidth="1"/>
    <col min="15108" max="15108" width="13.85546875" style="1046" customWidth="1"/>
    <col min="15109" max="15109" width="19.42578125" style="1046" customWidth="1"/>
    <col min="15110" max="15110" width="9.28515625" style="1046" customWidth="1"/>
    <col min="15111" max="15111" width="11.85546875" style="1046" customWidth="1"/>
    <col min="15112" max="15112" width="16.42578125" style="1046" customWidth="1"/>
    <col min="15113" max="15113" width="0" style="1046" hidden="1" customWidth="1"/>
    <col min="15114" max="15114" width="16.5703125" style="1046" customWidth="1"/>
    <col min="15115" max="15116" width="0" style="1046" hidden="1" customWidth="1"/>
    <col min="15117" max="15118" width="16.5703125" style="1046" customWidth="1"/>
    <col min="15119" max="15119" width="5.140625" style="1046" customWidth="1"/>
    <col min="15120" max="15120" width="16.5703125" style="1046" customWidth="1"/>
    <col min="15121" max="15121" width="5.140625" style="1046" customWidth="1"/>
    <col min="15122" max="15122" width="16.5703125" style="1046" customWidth="1"/>
    <col min="15123" max="15123" width="5.140625" style="1046" customWidth="1"/>
    <col min="15124" max="15124" width="16.5703125" style="1046" customWidth="1"/>
    <col min="15125" max="15125" width="5.140625" style="1046" customWidth="1"/>
    <col min="15126" max="15126" width="15.28515625" style="1046" customWidth="1"/>
    <col min="15127" max="15127" width="4.7109375" style="1046" customWidth="1"/>
    <col min="15128" max="15128" width="0" style="1046" hidden="1" customWidth="1"/>
    <col min="15129" max="15129" width="6.5703125" style="1046" customWidth="1"/>
    <col min="15130" max="15130" width="10.5703125" style="1046" customWidth="1"/>
    <col min="15131" max="15131" width="17.42578125" style="1046" customWidth="1"/>
    <col min="15132" max="15132" width="7.7109375" style="1046" customWidth="1"/>
    <col min="15133" max="15133" width="15.42578125" style="1046" customWidth="1"/>
    <col min="15134" max="15134" width="16.42578125" style="1046" customWidth="1"/>
    <col min="15135" max="15135" width="17.28515625" style="1046" customWidth="1"/>
    <col min="15136" max="15136" width="0" style="1046" hidden="1" customWidth="1"/>
    <col min="15137" max="15137" width="19" style="1046" customWidth="1"/>
    <col min="15138" max="15140" width="26" style="1046" customWidth="1"/>
    <col min="15141" max="15141" width="35.42578125" style="1046" customWidth="1"/>
    <col min="15142" max="15142" width="27.5703125" style="1046" customWidth="1"/>
    <col min="15143" max="15143" width="9.140625" style="1046"/>
    <col min="15144" max="15144" width="26.7109375" style="1046" customWidth="1"/>
    <col min="15145" max="15145" width="17.28515625" style="1046" customWidth="1"/>
    <col min="15146" max="15311" width="9.140625" style="1046"/>
    <col min="15312" max="15313" width="3" style="1046" customWidth="1"/>
    <col min="15314" max="15314" width="4.42578125" style="1046" bestFit="1" customWidth="1"/>
    <col min="15315" max="15315" width="59.140625" style="1046" customWidth="1"/>
    <col min="15316" max="15316" width="0" style="1046" hidden="1" customWidth="1"/>
    <col min="15317" max="15317" width="12.7109375" style="1046" customWidth="1"/>
    <col min="15318" max="15318" width="8.28515625" style="1046" customWidth="1"/>
    <col min="15319" max="15319" width="14.42578125" style="1046" customWidth="1"/>
    <col min="15320" max="15320" width="7.28515625" style="1046" customWidth="1"/>
    <col min="15321" max="15321" width="9.5703125" style="1046" customWidth="1"/>
    <col min="15322" max="15322" width="17" style="1046" customWidth="1"/>
    <col min="15323" max="15323" width="0" style="1046" hidden="1" customWidth="1"/>
    <col min="15324" max="15324" width="15.140625" style="1046" customWidth="1"/>
    <col min="15325" max="15325" width="13.85546875" style="1046" customWidth="1"/>
    <col min="15326" max="15326" width="4.42578125" style="1046" customWidth="1"/>
    <col min="15327" max="15327" width="12.28515625" style="1046" customWidth="1"/>
    <col min="15328" max="15328" width="6" style="1046" customWidth="1"/>
    <col min="15329" max="15329" width="19.85546875" style="1046" customWidth="1"/>
    <col min="15330" max="15330" width="5.140625" style="1046" customWidth="1"/>
    <col min="15331" max="15331" width="17.28515625" style="1046" bestFit="1" customWidth="1"/>
    <col min="15332" max="15333" width="0" style="1046" hidden="1" customWidth="1"/>
    <col min="15334" max="15334" width="5.85546875" style="1046" customWidth="1"/>
    <col min="15335" max="15335" width="10.42578125" style="1046" customWidth="1"/>
    <col min="15336" max="15336" width="15.42578125" style="1046" customWidth="1"/>
    <col min="15337" max="15337" width="11.85546875" style="1046" customWidth="1"/>
    <col min="15338" max="15338" width="16.42578125" style="1046" customWidth="1"/>
    <col min="15339" max="15339" width="17.28515625" style="1046" customWidth="1"/>
    <col min="15340" max="15340" width="19" style="1046" bestFit="1" customWidth="1"/>
    <col min="15341" max="15341" width="20" style="1046" customWidth="1"/>
    <col min="15342" max="15342" width="18.7109375" style="1046" bestFit="1" customWidth="1"/>
    <col min="15343" max="15343" width="17.85546875" style="1046" bestFit="1" customWidth="1"/>
    <col min="15344" max="15344" width="16.42578125" style="1046" bestFit="1" customWidth="1"/>
    <col min="15345" max="15359" width="9.140625" style="1046"/>
    <col min="15360" max="15360" width="6.85546875" style="1046" customWidth="1"/>
    <col min="15361" max="15361" width="54.85546875" style="1046" customWidth="1"/>
    <col min="15362" max="15362" width="0" style="1046" hidden="1" customWidth="1"/>
    <col min="15363" max="15363" width="12.7109375" style="1046" customWidth="1"/>
    <col min="15364" max="15364" width="13.85546875" style="1046" customWidth="1"/>
    <col min="15365" max="15365" width="19.42578125" style="1046" customWidth="1"/>
    <col min="15366" max="15366" width="9.28515625" style="1046" customWidth="1"/>
    <col min="15367" max="15367" width="11.85546875" style="1046" customWidth="1"/>
    <col min="15368" max="15368" width="16.42578125" style="1046" customWidth="1"/>
    <col min="15369" max="15369" width="0" style="1046" hidden="1" customWidth="1"/>
    <col min="15370" max="15370" width="16.5703125" style="1046" customWidth="1"/>
    <col min="15371" max="15372" width="0" style="1046" hidden="1" customWidth="1"/>
    <col min="15373" max="15374" width="16.5703125" style="1046" customWidth="1"/>
    <col min="15375" max="15375" width="5.140625" style="1046" customWidth="1"/>
    <col min="15376" max="15376" width="16.5703125" style="1046" customWidth="1"/>
    <col min="15377" max="15377" width="5.140625" style="1046" customWidth="1"/>
    <col min="15378" max="15378" width="16.5703125" style="1046" customWidth="1"/>
    <col min="15379" max="15379" width="5.140625" style="1046" customWidth="1"/>
    <col min="15380" max="15380" width="16.5703125" style="1046" customWidth="1"/>
    <col min="15381" max="15381" width="5.140625" style="1046" customWidth="1"/>
    <col min="15382" max="15382" width="15.28515625" style="1046" customWidth="1"/>
    <col min="15383" max="15383" width="4.7109375" style="1046" customWidth="1"/>
    <col min="15384" max="15384" width="0" style="1046" hidden="1" customWidth="1"/>
    <col min="15385" max="15385" width="6.5703125" style="1046" customWidth="1"/>
    <col min="15386" max="15386" width="10.5703125" style="1046" customWidth="1"/>
    <col min="15387" max="15387" width="17.42578125" style="1046" customWidth="1"/>
    <col min="15388" max="15388" width="7.7109375" style="1046" customWidth="1"/>
    <col min="15389" max="15389" width="15.42578125" style="1046" customWidth="1"/>
    <col min="15390" max="15390" width="16.42578125" style="1046" customWidth="1"/>
    <col min="15391" max="15391" width="17.28515625" style="1046" customWidth="1"/>
    <col min="15392" max="15392" width="0" style="1046" hidden="1" customWidth="1"/>
    <col min="15393" max="15393" width="19" style="1046" customWidth="1"/>
    <col min="15394" max="15396" width="26" style="1046" customWidth="1"/>
    <col min="15397" max="15397" width="35.42578125" style="1046" customWidth="1"/>
    <col min="15398" max="15398" width="27.5703125" style="1046" customWidth="1"/>
    <col min="15399" max="15399" width="9.140625" style="1046"/>
    <col min="15400" max="15400" width="26.7109375" style="1046" customWidth="1"/>
    <col min="15401" max="15401" width="17.28515625" style="1046" customWidth="1"/>
    <col min="15402" max="15567" width="9.140625" style="1046"/>
    <col min="15568" max="15569" width="3" style="1046" customWidth="1"/>
    <col min="15570" max="15570" width="4.42578125" style="1046" bestFit="1" customWidth="1"/>
    <col min="15571" max="15571" width="59.140625" style="1046" customWidth="1"/>
    <col min="15572" max="15572" width="0" style="1046" hidden="1" customWidth="1"/>
    <col min="15573" max="15573" width="12.7109375" style="1046" customWidth="1"/>
    <col min="15574" max="15574" width="8.28515625" style="1046" customWidth="1"/>
    <col min="15575" max="15575" width="14.42578125" style="1046" customWidth="1"/>
    <col min="15576" max="15576" width="7.28515625" style="1046" customWidth="1"/>
    <col min="15577" max="15577" width="9.5703125" style="1046" customWidth="1"/>
    <col min="15578" max="15578" width="17" style="1046" customWidth="1"/>
    <col min="15579" max="15579" width="0" style="1046" hidden="1" customWidth="1"/>
    <col min="15580" max="15580" width="15.140625" style="1046" customWidth="1"/>
    <col min="15581" max="15581" width="13.85546875" style="1046" customWidth="1"/>
    <col min="15582" max="15582" width="4.42578125" style="1046" customWidth="1"/>
    <col min="15583" max="15583" width="12.28515625" style="1046" customWidth="1"/>
    <col min="15584" max="15584" width="6" style="1046" customWidth="1"/>
    <col min="15585" max="15585" width="19.85546875" style="1046" customWidth="1"/>
    <col min="15586" max="15586" width="5.140625" style="1046" customWidth="1"/>
    <col min="15587" max="15587" width="17.28515625" style="1046" bestFit="1" customWidth="1"/>
    <col min="15588" max="15589" width="0" style="1046" hidden="1" customWidth="1"/>
    <col min="15590" max="15590" width="5.85546875" style="1046" customWidth="1"/>
    <col min="15591" max="15591" width="10.42578125" style="1046" customWidth="1"/>
    <col min="15592" max="15592" width="15.42578125" style="1046" customWidth="1"/>
    <col min="15593" max="15593" width="11.85546875" style="1046" customWidth="1"/>
    <col min="15594" max="15594" width="16.42578125" style="1046" customWidth="1"/>
    <col min="15595" max="15595" width="17.28515625" style="1046" customWidth="1"/>
    <col min="15596" max="15596" width="19" style="1046" bestFit="1" customWidth="1"/>
    <col min="15597" max="15597" width="20" style="1046" customWidth="1"/>
    <col min="15598" max="15598" width="18.7109375" style="1046" bestFit="1" customWidth="1"/>
    <col min="15599" max="15599" width="17.85546875" style="1046" bestFit="1" customWidth="1"/>
    <col min="15600" max="15600" width="16.42578125" style="1046" bestFit="1" customWidth="1"/>
    <col min="15601" max="15615" width="9.140625" style="1046"/>
    <col min="15616" max="15616" width="6.85546875" style="1046" customWidth="1"/>
    <col min="15617" max="15617" width="54.85546875" style="1046" customWidth="1"/>
    <col min="15618" max="15618" width="0" style="1046" hidden="1" customWidth="1"/>
    <col min="15619" max="15619" width="12.7109375" style="1046" customWidth="1"/>
    <col min="15620" max="15620" width="13.85546875" style="1046" customWidth="1"/>
    <col min="15621" max="15621" width="19.42578125" style="1046" customWidth="1"/>
    <col min="15622" max="15622" width="9.28515625" style="1046" customWidth="1"/>
    <col min="15623" max="15623" width="11.85546875" style="1046" customWidth="1"/>
    <col min="15624" max="15624" width="16.42578125" style="1046" customWidth="1"/>
    <col min="15625" max="15625" width="0" style="1046" hidden="1" customWidth="1"/>
    <col min="15626" max="15626" width="16.5703125" style="1046" customWidth="1"/>
    <col min="15627" max="15628" width="0" style="1046" hidden="1" customWidth="1"/>
    <col min="15629" max="15630" width="16.5703125" style="1046" customWidth="1"/>
    <col min="15631" max="15631" width="5.140625" style="1046" customWidth="1"/>
    <col min="15632" max="15632" width="16.5703125" style="1046" customWidth="1"/>
    <col min="15633" max="15633" width="5.140625" style="1046" customWidth="1"/>
    <col min="15634" max="15634" width="16.5703125" style="1046" customWidth="1"/>
    <col min="15635" max="15635" width="5.140625" style="1046" customWidth="1"/>
    <col min="15636" max="15636" width="16.5703125" style="1046" customWidth="1"/>
    <col min="15637" max="15637" width="5.140625" style="1046" customWidth="1"/>
    <col min="15638" max="15638" width="15.28515625" style="1046" customWidth="1"/>
    <col min="15639" max="15639" width="4.7109375" style="1046" customWidth="1"/>
    <col min="15640" max="15640" width="0" style="1046" hidden="1" customWidth="1"/>
    <col min="15641" max="15641" width="6.5703125" style="1046" customWidth="1"/>
    <col min="15642" max="15642" width="10.5703125" style="1046" customWidth="1"/>
    <col min="15643" max="15643" width="17.42578125" style="1046" customWidth="1"/>
    <col min="15644" max="15644" width="7.7109375" style="1046" customWidth="1"/>
    <col min="15645" max="15645" width="15.42578125" style="1046" customWidth="1"/>
    <col min="15646" max="15646" width="16.42578125" style="1046" customWidth="1"/>
    <col min="15647" max="15647" width="17.28515625" style="1046" customWidth="1"/>
    <col min="15648" max="15648" width="0" style="1046" hidden="1" customWidth="1"/>
    <col min="15649" max="15649" width="19" style="1046" customWidth="1"/>
    <col min="15650" max="15652" width="26" style="1046" customWidth="1"/>
    <col min="15653" max="15653" width="35.42578125" style="1046" customWidth="1"/>
    <col min="15654" max="15654" width="27.5703125" style="1046" customWidth="1"/>
    <col min="15655" max="15655" width="9.140625" style="1046"/>
    <col min="15656" max="15656" width="26.7109375" style="1046" customWidth="1"/>
    <col min="15657" max="15657" width="17.28515625" style="1046" customWidth="1"/>
    <col min="15658" max="15823" width="9.140625" style="1046"/>
    <col min="15824" max="15825" width="3" style="1046" customWidth="1"/>
    <col min="15826" max="15826" width="4.42578125" style="1046" bestFit="1" customWidth="1"/>
    <col min="15827" max="15827" width="59.140625" style="1046" customWidth="1"/>
    <col min="15828" max="15828" width="0" style="1046" hidden="1" customWidth="1"/>
    <col min="15829" max="15829" width="12.7109375" style="1046" customWidth="1"/>
    <col min="15830" max="15830" width="8.28515625" style="1046" customWidth="1"/>
    <col min="15831" max="15831" width="14.42578125" style="1046" customWidth="1"/>
    <col min="15832" max="15832" width="7.28515625" style="1046" customWidth="1"/>
    <col min="15833" max="15833" width="9.5703125" style="1046" customWidth="1"/>
    <col min="15834" max="15834" width="17" style="1046" customWidth="1"/>
    <col min="15835" max="15835" width="0" style="1046" hidden="1" customWidth="1"/>
    <col min="15836" max="15836" width="15.140625" style="1046" customWidth="1"/>
    <col min="15837" max="15837" width="13.85546875" style="1046" customWidth="1"/>
    <col min="15838" max="15838" width="4.42578125" style="1046" customWidth="1"/>
    <col min="15839" max="15839" width="12.28515625" style="1046" customWidth="1"/>
    <col min="15840" max="15840" width="6" style="1046" customWidth="1"/>
    <col min="15841" max="15841" width="19.85546875" style="1046" customWidth="1"/>
    <col min="15842" max="15842" width="5.140625" style="1046" customWidth="1"/>
    <col min="15843" max="15843" width="17.28515625" style="1046" bestFit="1" customWidth="1"/>
    <col min="15844" max="15845" width="0" style="1046" hidden="1" customWidth="1"/>
    <col min="15846" max="15846" width="5.85546875" style="1046" customWidth="1"/>
    <col min="15847" max="15847" width="10.42578125" style="1046" customWidth="1"/>
    <col min="15848" max="15848" width="15.42578125" style="1046" customWidth="1"/>
    <col min="15849" max="15849" width="11.85546875" style="1046" customWidth="1"/>
    <col min="15850" max="15850" width="16.42578125" style="1046" customWidth="1"/>
    <col min="15851" max="15851" width="17.28515625" style="1046" customWidth="1"/>
    <col min="15852" max="15852" width="19" style="1046" bestFit="1" customWidth="1"/>
    <col min="15853" max="15853" width="20" style="1046" customWidth="1"/>
    <col min="15854" max="15854" width="18.7109375" style="1046" bestFit="1" customWidth="1"/>
    <col min="15855" max="15855" width="17.85546875" style="1046" bestFit="1" customWidth="1"/>
    <col min="15856" max="15856" width="16.42578125" style="1046" bestFit="1" customWidth="1"/>
    <col min="15857" max="15871" width="9.140625" style="1046"/>
    <col min="15872" max="15872" width="6.85546875" style="1046" customWidth="1"/>
    <col min="15873" max="15873" width="54.85546875" style="1046" customWidth="1"/>
    <col min="15874" max="15874" width="0" style="1046" hidden="1" customWidth="1"/>
    <col min="15875" max="15875" width="12.7109375" style="1046" customWidth="1"/>
    <col min="15876" max="15876" width="13.85546875" style="1046" customWidth="1"/>
    <col min="15877" max="15877" width="19.42578125" style="1046" customWidth="1"/>
    <col min="15878" max="15878" width="9.28515625" style="1046" customWidth="1"/>
    <col min="15879" max="15879" width="11.85546875" style="1046" customWidth="1"/>
    <col min="15880" max="15880" width="16.42578125" style="1046" customWidth="1"/>
    <col min="15881" max="15881" width="0" style="1046" hidden="1" customWidth="1"/>
    <col min="15882" max="15882" width="16.5703125" style="1046" customWidth="1"/>
    <col min="15883" max="15884" width="0" style="1046" hidden="1" customWidth="1"/>
    <col min="15885" max="15886" width="16.5703125" style="1046" customWidth="1"/>
    <col min="15887" max="15887" width="5.140625" style="1046" customWidth="1"/>
    <col min="15888" max="15888" width="16.5703125" style="1046" customWidth="1"/>
    <col min="15889" max="15889" width="5.140625" style="1046" customWidth="1"/>
    <col min="15890" max="15890" width="16.5703125" style="1046" customWidth="1"/>
    <col min="15891" max="15891" width="5.140625" style="1046" customWidth="1"/>
    <col min="15892" max="15892" width="16.5703125" style="1046" customWidth="1"/>
    <col min="15893" max="15893" width="5.140625" style="1046" customWidth="1"/>
    <col min="15894" max="15894" width="15.28515625" style="1046" customWidth="1"/>
    <col min="15895" max="15895" width="4.7109375" style="1046" customWidth="1"/>
    <col min="15896" max="15896" width="0" style="1046" hidden="1" customWidth="1"/>
    <col min="15897" max="15897" width="6.5703125" style="1046" customWidth="1"/>
    <col min="15898" max="15898" width="10.5703125" style="1046" customWidth="1"/>
    <col min="15899" max="15899" width="17.42578125" style="1046" customWidth="1"/>
    <col min="15900" max="15900" width="7.7109375" style="1046" customWidth="1"/>
    <col min="15901" max="15901" width="15.42578125" style="1046" customWidth="1"/>
    <col min="15902" max="15902" width="16.42578125" style="1046" customWidth="1"/>
    <col min="15903" max="15903" width="17.28515625" style="1046" customWidth="1"/>
    <col min="15904" max="15904" width="0" style="1046" hidden="1" customWidth="1"/>
    <col min="15905" max="15905" width="19" style="1046" customWidth="1"/>
    <col min="15906" max="15908" width="26" style="1046" customWidth="1"/>
    <col min="15909" max="15909" width="35.42578125" style="1046" customWidth="1"/>
    <col min="15910" max="15910" width="27.5703125" style="1046" customWidth="1"/>
    <col min="15911" max="15911" width="9.140625" style="1046"/>
    <col min="15912" max="15912" width="26.7109375" style="1046" customWidth="1"/>
    <col min="15913" max="15913" width="17.28515625" style="1046" customWidth="1"/>
    <col min="15914" max="16079" width="9.140625" style="1046"/>
    <col min="16080" max="16081" width="3" style="1046" customWidth="1"/>
    <col min="16082" max="16082" width="4.42578125" style="1046" bestFit="1" customWidth="1"/>
    <col min="16083" max="16083" width="59.140625" style="1046" customWidth="1"/>
    <col min="16084" max="16084" width="0" style="1046" hidden="1" customWidth="1"/>
    <col min="16085" max="16085" width="12.7109375" style="1046" customWidth="1"/>
    <col min="16086" max="16086" width="8.28515625" style="1046" customWidth="1"/>
    <col min="16087" max="16087" width="14.42578125" style="1046" customWidth="1"/>
    <col min="16088" max="16088" width="7.28515625" style="1046" customWidth="1"/>
    <col min="16089" max="16089" width="9.5703125" style="1046" customWidth="1"/>
    <col min="16090" max="16090" width="17" style="1046" customWidth="1"/>
    <col min="16091" max="16091" width="0" style="1046" hidden="1" customWidth="1"/>
    <col min="16092" max="16092" width="15.140625" style="1046" customWidth="1"/>
    <col min="16093" max="16093" width="13.85546875" style="1046" customWidth="1"/>
    <col min="16094" max="16094" width="4.42578125" style="1046" customWidth="1"/>
    <col min="16095" max="16095" width="12.28515625" style="1046" customWidth="1"/>
    <col min="16096" max="16096" width="6" style="1046" customWidth="1"/>
    <col min="16097" max="16097" width="19.85546875" style="1046" customWidth="1"/>
    <col min="16098" max="16098" width="5.140625" style="1046" customWidth="1"/>
    <col min="16099" max="16099" width="17.28515625" style="1046" bestFit="1" customWidth="1"/>
    <col min="16100" max="16101" width="0" style="1046" hidden="1" customWidth="1"/>
    <col min="16102" max="16102" width="5.85546875" style="1046" customWidth="1"/>
    <col min="16103" max="16103" width="10.42578125" style="1046" customWidth="1"/>
    <col min="16104" max="16104" width="15.42578125" style="1046" customWidth="1"/>
    <col min="16105" max="16105" width="11.85546875" style="1046" customWidth="1"/>
    <col min="16106" max="16106" width="16.42578125" style="1046" customWidth="1"/>
    <col min="16107" max="16107" width="17.28515625" style="1046" customWidth="1"/>
    <col min="16108" max="16108" width="19" style="1046" bestFit="1" customWidth="1"/>
    <col min="16109" max="16109" width="20" style="1046" customWidth="1"/>
    <col min="16110" max="16110" width="18.7109375" style="1046" bestFit="1" customWidth="1"/>
    <col min="16111" max="16111" width="17.85546875" style="1046" bestFit="1" customWidth="1"/>
    <col min="16112" max="16112" width="16.42578125" style="1046" bestFit="1" customWidth="1"/>
    <col min="16113" max="16127" width="9.140625" style="1046"/>
    <col min="16128" max="16128" width="6.85546875" style="1046" customWidth="1"/>
    <col min="16129" max="16129" width="54.85546875" style="1046" customWidth="1"/>
    <col min="16130" max="16130" width="0" style="1046" hidden="1" customWidth="1"/>
    <col min="16131" max="16131" width="12.7109375" style="1046" customWidth="1"/>
    <col min="16132" max="16132" width="13.85546875" style="1046" customWidth="1"/>
    <col min="16133" max="16133" width="19.42578125" style="1046" customWidth="1"/>
    <col min="16134" max="16134" width="9.28515625" style="1046" customWidth="1"/>
    <col min="16135" max="16135" width="11.85546875" style="1046" customWidth="1"/>
    <col min="16136" max="16136" width="16.42578125" style="1046" customWidth="1"/>
    <col min="16137" max="16137" width="0" style="1046" hidden="1" customWidth="1"/>
    <col min="16138" max="16138" width="16.5703125" style="1046" customWidth="1"/>
    <col min="16139" max="16140" width="0" style="1046" hidden="1" customWidth="1"/>
    <col min="16141" max="16142" width="16.5703125" style="1046" customWidth="1"/>
    <col min="16143" max="16143" width="5.140625" style="1046" customWidth="1"/>
    <col min="16144" max="16144" width="16.5703125" style="1046" customWidth="1"/>
    <col min="16145" max="16145" width="5.140625" style="1046" customWidth="1"/>
    <col min="16146" max="16146" width="16.5703125" style="1046" customWidth="1"/>
    <col min="16147" max="16147" width="5.140625" style="1046" customWidth="1"/>
    <col min="16148" max="16148" width="16.5703125" style="1046" customWidth="1"/>
    <col min="16149" max="16149" width="5.140625" style="1046" customWidth="1"/>
    <col min="16150" max="16150" width="15.28515625" style="1046" customWidth="1"/>
    <col min="16151" max="16151" width="4.7109375" style="1046" customWidth="1"/>
    <col min="16152" max="16152" width="0" style="1046" hidden="1" customWidth="1"/>
    <col min="16153" max="16153" width="6.5703125" style="1046" customWidth="1"/>
    <col min="16154" max="16154" width="10.5703125" style="1046" customWidth="1"/>
    <col min="16155" max="16155" width="17.42578125" style="1046" customWidth="1"/>
    <col min="16156" max="16156" width="7.7109375" style="1046" customWidth="1"/>
    <col min="16157" max="16157" width="15.42578125" style="1046" customWidth="1"/>
    <col min="16158" max="16158" width="16.42578125" style="1046" customWidth="1"/>
    <col min="16159" max="16159" width="17.28515625" style="1046" customWidth="1"/>
    <col min="16160" max="16160" width="0" style="1046" hidden="1" customWidth="1"/>
    <col min="16161" max="16161" width="19" style="1046" customWidth="1"/>
    <col min="16162" max="16164" width="26" style="1046" customWidth="1"/>
    <col min="16165" max="16165" width="35.42578125" style="1046" customWidth="1"/>
    <col min="16166" max="16166" width="27.5703125" style="1046" customWidth="1"/>
    <col min="16167" max="16167" width="9.140625" style="1046"/>
    <col min="16168" max="16168" width="26.7109375" style="1046" customWidth="1"/>
    <col min="16169" max="16169" width="17.28515625" style="1046" customWidth="1"/>
    <col min="16170" max="16335" width="9.140625" style="1046"/>
    <col min="16336" max="16337" width="3" style="1046" customWidth="1"/>
    <col min="16338" max="16338" width="4.42578125" style="1046" bestFit="1" customWidth="1"/>
    <col min="16339" max="16339" width="59.140625" style="1046" customWidth="1"/>
    <col min="16340" max="16340" width="0" style="1046" hidden="1" customWidth="1"/>
    <col min="16341" max="16341" width="12.7109375" style="1046" customWidth="1"/>
    <col min="16342" max="16342" width="8.28515625" style="1046" customWidth="1"/>
    <col min="16343" max="16343" width="14.42578125" style="1046" customWidth="1"/>
    <col min="16344" max="16344" width="7.28515625" style="1046" customWidth="1"/>
    <col min="16345" max="16345" width="9.5703125" style="1046" customWidth="1"/>
    <col min="16346" max="16346" width="17" style="1046" customWidth="1"/>
    <col min="16347" max="16347" width="0" style="1046" hidden="1" customWidth="1"/>
    <col min="16348" max="16348" width="15.140625" style="1046" customWidth="1"/>
    <col min="16349" max="16349" width="13.85546875" style="1046" customWidth="1"/>
    <col min="16350" max="16350" width="4.42578125" style="1046" customWidth="1"/>
    <col min="16351" max="16351" width="12.28515625" style="1046" customWidth="1"/>
    <col min="16352" max="16352" width="6" style="1046" customWidth="1"/>
    <col min="16353" max="16353" width="19.85546875" style="1046" customWidth="1"/>
    <col min="16354" max="16354" width="5.140625" style="1046" customWidth="1"/>
    <col min="16355" max="16355" width="17.28515625" style="1046" bestFit="1" customWidth="1"/>
    <col min="16356" max="16357" width="0" style="1046" hidden="1" customWidth="1"/>
    <col min="16358" max="16358" width="5.85546875" style="1046" customWidth="1"/>
    <col min="16359" max="16359" width="10.42578125" style="1046" customWidth="1"/>
    <col min="16360" max="16360" width="15.42578125" style="1046" customWidth="1"/>
    <col min="16361" max="16361" width="11.85546875" style="1046" customWidth="1"/>
    <col min="16362" max="16362" width="16.42578125" style="1046" customWidth="1"/>
    <col min="16363" max="16363" width="17.28515625" style="1046" customWidth="1"/>
    <col min="16364" max="16364" width="19" style="1046" bestFit="1" customWidth="1"/>
    <col min="16365" max="16365" width="20" style="1046" customWidth="1"/>
    <col min="16366" max="16366" width="18.7109375" style="1046" bestFit="1" customWidth="1"/>
    <col min="16367" max="16367" width="17.85546875" style="1046" bestFit="1" customWidth="1"/>
    <col min="16368" max="16368" width="16.42578125" style="1046" bestFit="1" customWidth="1"/>
    <col min="16369" max="16384" width="9.140625" style="1046"/>
  </cols>
  <sheetData>
    <row r="1" spans="1:209" s="1028" customFormat="1" ht="36" customHeight="1">
      <c r="A1" s="1566" t="s">
        <v>1514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  <c r="P1" s="1566"/>
      <c r="Q1" s="1566"/>
      <c r="R1" s="1566"/>
      <c r="S1" s="1566"/>
      <c r="T1" s="1566"/>
      <c r="U1" s="1566"/>
      <c r="V1" s="1566"/>
      <c r="W1" s="1566"/>
      <c r="X1" s="1566"/>
      <c r="Y1" s="1566"/>
      <c r="Z1" s="1566"/>
      <c r="AA1" s="1566"/>
      <c r="AB1" s="1566"/>
      <c r="AC1" s="1566"/>
      <c r="AD1" s="1566"/>
      <c r="AE1" s="1566"/>
      <c r="AF1" s="1566"/>
      <c r="AG1" s="1566"/>
      <c r="AH1" s="1566"/>
      <c r="AI1" s="1026"/>
      <c r="AJ1" s="1026"/>
      <c r="AK1" s="1027"/>
      <c r="AL1" s="1027"/>
      <c r="AM1" s="1026"/>
      <c r="AN1" s="1026"/>
      <c r="AO1" s="1026"/>
      <c r="AP1" s="1026"/>
      <c r="AQ1" s="1026"/>
      <c r="AR1" s="1026"/>
      <c r="AS1" s="1026"/>
      <c r="AT1" s="1026"/>
      <c r="AU1" s="1026"/>
      <c r="AV1" s="1026"/>
      <c r="AW1" s="1026"/>
      <c r="AX1" s="1026"/>
      <c r="AY1" s="1026"/>
      <c r="AZ1" s="1026"/>
      <c r="BA1" s="1026"/>
      <c r="BB1" s="1026"/>
      <c r="BC1" s="1026"/>
      <c r="BD1" s="1026"/>
      <c r="BE1" s="1026"/>
      <c r="BF1" s="1026"/>
      <c r="BG1" s="1026"/>
      <c r="BH1" s="1026"/>
      <c r="BI1" s="1026"/>
      <c r="BJ1" s="1026"/>
      <c r="BK1" s="1026"/>
      <c r="BL1" s="1026"/>
      <c r="BM1" s="1026"/>
      <c r="BN1" s="1026"/>
      <c r="BO1" s="1026"/>
      <c r="BP1" s="1026"/>
      <c r="BQ1" s="1026"/>
      <c r="BR1" s="1026"/>
      <c r="BS1" s="1026"/>
      <c r="BT1" s="1026"/>
      <c r="BU1" s="1026"/>
      <c r="BV1" s="1026"/>
      <c r="BW1" s="1026"/>
      <c r="BX1" s="1026"/>
      <c r="BY1" s="1026"/>
      <c r="BZ1" s="1026"/>
      <c r="CA1" s="1026"/>
      <c r="CB1" s="1026"/>
      <c r="CC1" s="1026"/>
      <c r="CD1" s="1026"/>
      <c r="CE1" s="1026"/>
      <c r="CF1" s="1026"/>
      <c r="CG1" s="1026"/>
      <c r="CH1" s="1026"/>
      <c r="CI1" s="1026"/>
      <c r="CJ1" s="1026"/>
      <c r="CK1" s="1026"/>
      <c r="CL1" s="1026"/>
      <c r="CM1" s="1026"/>
      <c r="CN1" s="1026"/>
      <c r="CO1" s="1026"/>
      <c r="CP1" s="1026"/>
      <c r="CQ1" s="1026"/>
      <c r="CR1" s="1026"/>
      <c r="CS1" s="1026"/>
      <c r="CT1" s="1026"/>
      <c r="CU1" s="1026"/>
      <c r="CV1" s="1026"/>
      <c r="CW1" s="1026"/>
      <c r="CX1" s="1026"/>
      <c r="CY1" s="1026"/>
      <c r="CZ1" s="1026"/>
      <c r="DA1" s="1026"/>
      <c r="DB1" s="1026"/>
      <c r="DC1" s="1026"/>
      <c r="DD1" s="1026"/>
      <c r="DE1" s="1026"/>
      <c r="DF1" s="1026"/>
      <c r="DG1" s="1026"/>
      <c r="DH1" s="1026"/>
      <c r="DI1" s="1026"/>
      <c r="DJ1" s="1026"/>
      <c r="DK1" s="1026"/>
      <c r="DL1" s="1026"/>
      <c r="DM1" s="1026"/>
      <c r="DN1" s="1026"/>
      <c r="DO1" s="1026"/>
      <c r="DP1" s="1026"/>
      <c r="DQ1" s="1026"/>
      <c r="DR1" s="1026"/>
      <c r="DS1" s="1026"/>
      <c r="DT1" s="1026"/>
      <c r="DU1" s="1026"/>
      <c r="DV1" s="1026"/>
      <c r="DW1" s="1026"/>
      <c r="DX1" s="1026"/>
      <c r="DY1" s="1026"/>
      <c r="DZ1" s="1026"/>
      <c r="EA1" s="1026"/>
      <c r="EB1" s="1026"/>
      <c r="EC1" s="1026"/>
      <c r="ED1" s="1026"/>
      <c r="EE1" s="1026"/>
      <c r="EF1" s="1026"/>
      <c r="EG1" s="1026"/>
      <c r="EH1" s="1026"/>
      <c r="EI1" s="1026"/>
      <c r="EJ1" s="1026"/>
      <c r="EK1" s="1026"/>
      <c r="EL1" s="1026"/>
      <c r="EM1" s="1026"/>
      <c r="EN1" s="1026"/>
      <c r="EO1" s="1026"/>
      <c r="EP1" s="1026"/>
      <c r="EQ1" s="1026"/>
      <c r="ER1" s="1026"/>
      <c r="ES1" s="1026"/>
      <c r="ET1" s="1026"/>
      <c r="EU1" s="1026"/>
      <c r="EV1" s="1026"/>
      <c r="EW1" s="1026"/>
      <c r="EX1" s="1026"/>
      <c r="EY1" s="1026"/>
      <c r="EZ1" s="1026"/>
      <c r="FA1" s="1026"/>
      <c r="FB1" s="1026"/>
      <c r="FC1" s="1026"/>
      <c r="FD1" s="1026"/>
      <c r="FE1" s="1026"/>
      <c r="FF1" s="1026"/>
      <c r="FG1" s="1026"/>
      <c r="FH1" s="1026"/>
      <c r="FI1" s="1026"/>
      <c r="FJ1" s="1026"/>
      <c r="FK1" s="1026"/>
      <c r="FL1" s="1026"/>
      <c r="FM1" s="1026"/>
      <c r="FN1" s="1026"/>
      <c r="FO1" s="1026"/>
      <c r="FP1" s="1026"/>
      <c r="FQ1" s="1026"/>
      <c r="FR1" s="1026"/>
      <c r="FS1" s="1026"/>
      <c r="FT1" s="1026"/>
      <c r="FU1" s="1026"/>
      <c r="FV1" s="1026"/>
      <c r="FW1" s="1026"/>
      <c r="FX1" s="1026"/>
      <c r="FY1" s="1026"/>
      <c r="FZ1" s="1026"/>
      <c r="GA1" s="1026"/>
      <c r="GB1" s="1026"/>
      <c r="GC1" s="1026"/>
      <c r="GD1" s="1026"/>
      <c r="GE1" s="1026"/>
      <c r="GF1" s="1026"/>
      <c r="GG1" s="1026"/>
      <c r="GH1" s="1026"/>
      <c r="GI1" s="1026"/>
      <c r="GJ1" s="1026"/>
      <c r="GK1" s="1026"/>
      <c r="GL1" s="1026"/>
      <c r="GM1" s="1026"/>
      <c r="GN1" s="1026"/>
      <c r="GO1" s="1026"/>
      <c r="GP1" s="1026"/>
      <c r="GQ1" s="1026"/>
      <c r="GR1" s="1026"/>
      <c r="GS1" s="1026"/>
      <c r="GT1" s="1026"/>
      <c r="GU1" s="1026"/>
      <c r="GV1" s="1026"/>
      <c r="GW1" s="1026"/>
      <c r="GX1" s="1026"/>
      <c r="GY1" s="1026"/>
      <c r="GZ1" s="1026"/>
      <c r="HA1" s="1026"/>
    </row>
    <row r="2" spans="1:209" s="1032" customFormat="1" ht="21.75" customHeight="1">
      <c r="A2" s="1029"/>
      <c r="B2" s="1030"/>
      <c r="C2" s="1030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1029"/>
      <c r="Q2" s="1029"/>
      <c r="R2" s="1029"/>
      <c r="S2" s="1029"/>
      <c r="T2" s="1029"/>
      <c r="U2" s="1029"/>
      <c r="V2" s="1029"/>
      <c r="W2" s="1029"/>
      <c r="X2" s="1029"/>
      <c r="Y2" s="1029"/>
      <c r="Z2" s="1029"/>
      <c r="AA2" s="1029"/>
      <c r="AB2" s="1029"/>
      <c r="AC2" s="1029"/>
      <c r="AD2" s="1029"/>
      <c r="AE2" s="1029"/>
      <c r="AF2" s="1029"/>
      <c r="AG2" s="1029"/>
      <c r="AH2" s="1031" t="s">
        <v>471</v>
      </c>
      <c r="AI2" s="1003"/>
      <c r="AJ2" s="1003"/>
      <c r="AK2" s="1014"/>
      <c r="AL2" s="1014"/>
      <c r="AM2" s="1003"/>
      <c r="AN2" s="1003"/>
      <c r="AO2" s="1003"/>
      <c r="AP2" s="1003"/>
      <c r="AQ2" s="1003"/>
      <c r="AR2" s="1003"/>
      <c r="AS2" s="1003"/>
      <c r="AT2" s="1003"/>
      <c r="AU2" s="1003"/>
      <c r="AV2" s="1003"/>
      <c r="AW2" s="1003"/>
      <c r="AX2" s="1003"/>
      <c r="AY2" s="1003"/>
      <c r="AZ2" s="1003"/>
      <c r="BA2" s="1003"/>
      <c r="BB2" s="1003"/>
      <c r="BC2" s="1003"/>
      <c r="BD2" s="1003"/>
      <c r="BE2" s="1003"/>
      <c r="BF2" s="1003"/>
      <c r="BG2" s="1003"/>
      <c r="BH2" s="1003"/>
      <c r="BI2" s="1003"/>
      <c r="BJ2" s="1003"/>
      <c r="BK2" s="1003"/>
      <c r="BL2" s="1003"/>
      <c r="BM2" s="1003"/>
      <c r="BN2" s="1003"/>
      <c r="BO2" s="1003"/>
      <c r="BP2" s="1003"/>
      <c r="BQ2" s="1003"/>
      <c r="BR2" s="1003"/>
      <c r="BS2" s="1003"/>
      <c r="BT2" s="1003"/>
      <c r="BU2" s="1003"/>
      <c r="BV2" s="1003"/>
      <c r="BW2" s="1003"/>
      <c r="BX2" s="1003"/>
      <c r="BY2" s="1003"/>
      <c r="BZ2" s="1003"/>
      <c r="CA2" s="1003"/>
      <c r="CB2" s="1003"/>
      <c r="CC2" s="1003"/>
      <c r="CD2" s="1003"/>
      <c r="CE2" s="1003"/>
      <c r="CF2" s="1003"/>
      <c r="CG2" s="1003"/>
      <c r="CH2" s="1003"/>
      <c r="CI2" s="1003"/>
      <c r="CJ2" s="1003"/>
      <c r="CK2" s="1003"/>
      <c r="CL2" s="1003"/>
      <c r="CM2" s="1003"/>
      <c r="CN2" s="1003"/>
      <c r="CO2" s="1003"/>
      <c r="CP2" s="1003"/>
      <c r="CQ2" s="1003"/>
      <c r="CR2" s="1003"/>
      <c r="CS2" s="1003"/>
      <c r="CT2" s="1003"/>
      <c r="CU2" s="1003"/>
      <c r="CV2" s="1003"/>
      <c r="CW2" s="1003"/>
      <c r="CX2" s="1003"/>
      <c r="CY2" s="1003"/>
      <c r="CZ2" s="1003"/>
      <c r="DA2" s="1003"/>
      <c r="DB2" s="1003"/>
      <c r="DC2" s="1003"/>
      <c r="DD2" s="1003"/>
      <c r="DE2" s="1003"/>
      <c r="DF2" s="1003"/>
      <c r="DG2" s="1003"/>
      <c r="DH2" s="1003"/>
      <c r="DI2" s="1003"/>
      <c r="DJ2" s="1003"/>
      <c r="DK2" s="1003"/>
      <c r="DL2" s="1003"/>
      <c r="DM2" s="1003"/>
      <c r="DN2" s="1003"/>
      <c r="DO2" s="1003"/>
      <c r="DP2" s="1003"/>
      <c r="DQ2" s="1003"/>
      <c r="DR2" s="1003"/>
      <c r="DS2" s="1003"/>
      <c r="DT2" s="1003"/>
      <c r="DU2" s="1003"/>
      <c r="DV2" s="1003"/>
      <c r="DW2" s="1003"/>
      <c r="DX2" s="1003"/>
      <c r="DY2" s="1003"/>
      <c r="DZ2" s="1003"/>
      <c r="EA2" s="1003"/>
      <c r="EB2" s="1003"/>
      <c r="EC2" s="1003"/>
      <c r="ED2" s="1003"/>
      <c r="EE2" s="1003"/>
      <c r="EF2" s="1003"/>
      <c r="EG2" s="1003"/>
      <c r="EH2" s="1003"/>
      <c r="EI2" s="1003"/>
      <c r="EJ2" s="1003"/>
      <c r="EK2" s="1003"/>
      <c r="EL2" s="1003"/>
      <c r="EM2" s="1003"/>
      <c r="EN2" s="1003"/>
      <c r="EO2" s="1003"/>
      <c r="EP2" s="1003"/>
      <c r="EQ2" s="1003"/>
      <c r="ER2" s="1003"/>
      <c r="ES2" s="1003"/>
      <c r="ET2" s="1003"/>
      <c r="EU2" s="1003"/>
      <c r="EV2" s="1003"/>
      <c r="EW2" s="1003"/>
      <c r="EX2" s="1003"/>
      <c r="EY2" s="1003"/>
      <c r="EZ2" s="1003"/>
      <c r="FA2" s="1003"/>
      <c r="FB2" s="1003"/>
      <c r="FC2" s="1003"/>
      <c r="FD2" s="1003"/>
      <c r="FE2" s="1003"/>
      <c r="FF2" s="1003"/>
      <c r="FG2" s="1003"/>
      <c r="FH2" s="1003"/>
      <c r="FI2" s="1003"/>
      <c r="FJ2" s="1003"/>
      <c r="FK2" s="1003"/>
      <c r="FL2" s="1003"/>
      <c r="FM2" s="1003"/>
      <c r="FN2" s="1003"/>
      <c r="FO2" s="1003"/>
      <c r="FP2" s="1003"/>
      <c r="FQ2" s="1003"/>
      <c r="FR2" s="1003"/>
      <c r="FS2" s="1003"/>
      <c r="FT2" s="1003"/>
      <c r="FU2" s="1003"/>
      <c r="FV2" s="1003"/>
      <c r="FW2" s="1003"/>
      <c r="FX2" s="1003"/>
      <c r="FY2" s="1003"/>
      <c r="FZ2" s="1003"/>
      <c r="GA2" s="1003"/>
      <c r="GB2" s="1003"/>
      <c r="GC2" s="1003"/>
      <c r="GD2" s="1003"/>
      <c r="GE2" s="1003"/>
      <c r="GF2" s="1003"/>
      <c r="GG2" s="1003"/>
      <c r="GH2" s="1003"/>
      <c r="GI2" s="1003"/>
      <c r="GJ2" s="1003"/>
      <c r="GK2" s="1003"/>
      <c r="GL2" s="1003"/>
      <c r="GM2" s="1003"/>
      <c r="GN2" s="1003"/>
      <c r="GO2" s="1003"/>
      <c r="GP2" s="1003"/>
      <c r="GQ2" s="1003"/>
      <c r="GR2" s="1003"/>
      <c r="GS2" s="1003"/>
      <c r="GT2" s="1003"/>
      <c r="GU2" s="1003"/>
      <c r="GV2" s="1003"/>
      <c r="GW2" s="1003"/>
      <c r="GX2" s="1003"/>
      <c r="GY2" s="1003"/>
      <c r="GZ2" s="1003"/>
      <c r="HA2" s="1003"/>
    </row>
    <row r="3" spans="1:209" s="1032" customFormat="1" ht="219" customHeight="1">
      <c r="A3" s="1033" t="s">
        <v>2</v>
      </c>
      <c r="B3" s="1033" t="s">
        <v>48</v>
      </c>
      <c r="C3" s="1033" t="s">
        <v>49</v>
      </c>
      <c r="D3" s="1033" t="s">
        <v>50</v>
      </c>
      <c r="E3" s="1034" t="s">
        <v>51</v>
      </c>
      <c r="F3" s="1033" t="s">
        <v>52</v>
      </c>
      <c r="G3" s="1033" t="s">
        <v>53</v>
      </c>
      <c r="H3" s="1033" t="s">
        <v>54</v>
      </c>
      <c r="I3" s="1033" t="s">
        <v>53</v>
      </c>
      <c r="J3" s="963"/>
      <c r="K3" s="1035" t="s">
        <v>55</v>
      </c>
      <c r="L3" s="1035" t="s">
        <v>56</v>
      </c>
      <c r="M3" s="965"/>
      <c r="N3" s="1035" t="s">
        <v>57</v>
      </c>
      <c r="O3" s="1035" t="s">
        <v>58</v>
      </c>
      <c r="P3" s="1035" t="s">
        <v>59</v>
      </c>
      <c r="Q3" s="1035" t="s">
        <v>60</v>
      </c>
      <c r="R3" s="1035" t="s">
        <v>59</v>
      </c>
      <c r="S3" s="1035" t="s">
        <v>71</v>
      </c>
      <c r="T3" s="1035" t="s">
        <v>59</v>
      </c>
      <c r="U3" s="1035" t="s">
        <v>674</v>
      </c>
      <c r="V3" s="1035" t="s">
        <v>59</v>
      </c>
      <c r="W3" s="1035" t="s">
        <v>62</v>
      </c>
      <c r="X3" s="1035" t="s">
        <v>63</v>
      </c>
      <c r="Y3" s="1035" t="s">
        <v>59</v>
      </c>
      <c r="Z3" s="1035" t="s">
        <v>59</v>
      </c>
      <c r="AA3" s="1034" t="s">
        <v>64</v>
      </c>
      <c r="AB3" s="1035" t="s">
        <v>59</v>
      </c>
      <c r="AC3" s="1034" t="s">
        <v>65</v>
      </c>
      <c r="AD3" s="1035" t="s">
        <v>66</v>
      </c>
      <c r="AE3" s="1035" t="s">
        <v>67</v>
      </c>
      <c r="AF3" s="1035" t="s">
        <v>68</v>
      </c>
      <c r="AG3" s="1035" t="s">
        <v>69</v>
      </c>
      <c r="AH3" s="1035" t="s">
        <v>611</v>
      </c>
      <c r="AI3" s="1022"/>
      <c r="AJ3" s="1022"/>
      <c r="AK3" s="1021"/>
      <c r="AL3" s="1021"/>
      <c r="AM3" s="1013"/>
      <c r="AN3" s="1013"/>
      <c r="AO3" s="1013"/>
      <c r="AP3" s="1013"/>
      <c r="AQ3" s="1013"/>
      <c r="AR3" s="1013"/>
      <c r="AS3" s="1013"/>
      <c r="AT3" s="1013"/>
      <c r="AU3" s="1013"/>
      <c r="AV3" s="1013"/>
      <c r="AW3" s="1013"/>
      <c r="AX3" s="1013"/>
      <c r="AY3" s="1013"/>
      <c r="AZ3" s="1013"/>
      <c r="BA3" s="1013"/>
      <c r="BB3" s="1013"/>
      <c r="BC3" s="1013"/>
      <c r="BD3" s="1013"/>
      <c r="BE3" s="1013"/>
      <c r="BF3" s="1013"/>
      <c r="BG3" s="1013"/>
      <c r="BH3" s="1013"/>
      <c r="BI3" s="1013"/>
      <c r="BJ3" s="1013"/>
      <c r="BK3" s="1013"/>
      <c r="BL3" s="1013"/>
      <c r="BM3" s="1013"/>
      <c r="BN3" s="1013"/>
      <c r="BO3" s="1013"/>
      <c r="BP3" s="1013"/>
      <c r="BQ3" s="1013"/>
      <c r="BR3" s="1013"/>
      <c r="BS3" s="1013"/>
      <c r="BT3" s="1013"/>
      <c r="BU3" s="1013"/>
      <c r="BV3" s="1013"/>
      <c r="BW3" s="1013"/>
      <c r="BX3" s="1013"/>
      <c r="BY3" s="1013"/>
      <c r="BZ3" s="1013"/>
      <c r="CA3" s="1013"/>
      <c r="CB3" s="1013"/>
      <c r="CC3" s="1013"/>
      <c r="CD3" s="1013"/>
      <c r="CE3" s="1013"/>
      <c r="CF3" s="1013"/>
      <c r="CG3" s="1013"/>
      <c r="CH3" s="1013"/>
      <c r="CI3" s="1013"/>
      <c r="CJ3" s="1013"/>
      <c r="CK3" s="1013"/>
      <c r="CL3" s="1013"/>
      <c r="CM3" s="1013"/>
      <c r="CN3" s="1013"/>
      <c r="CO3" s="1013"/>
      <c r="CP3" s="1013"/>
      <c r="CQ3" s="1013"/>
      <c r="CR3" s="1013"/>
      <c r="CS3" s="1013"/>
      <c r="CT3" s="1013"/>
      <c r="CU3" s="1013"/>
      <c r="CV3" s="1013"/>
      <c r="CW3" s="1013"/>
      <c r="CX3" s="1013"/>
      <c r="CY3" s="1013"/>
      <c r="CZ3" s="1013"/>
      <c r="DA3" s="1013"/>
      <c r="DB3" s="1013"/>
      <c r="DC3" s="1013"/>
      <c r="DD3" s="1013"/>
      <c r="DE3" s="1013"/>
      <c r="DF3" s="1013"/>
      <c r="DG3" s="1013"/>
      <c r="DH3" s="1013"/>
      <c r="DI3" s="1013"/>
      <c r="DJ3" s="1013"/>
      <c r="DK3" s="1013"/>
      <c r="DL3" s="1013"/>
      <c r="DM3" s="1013"/>
      <c r="DN3" s="1013"/>
      <c r="DO3" s="1013"/>
      <c r="DP3" s="1013"/>
      <c r="DQ3" s="1013"/>
      <c r="DR3" s="1013"/>
      <c r="DS3" s="1013"/>
      <c r="DT3" s="1013"/>
      <c r="DU3" s="1013"/>
      <c r="DV3" s="1013"/>
      <c r="DW3" s="1013"/>
      <c r="DX3" s="1013"/>
      <c r="DY3" s="1013"/>
      <c r="DZ3" s="1013"/>
      <c r="EA3" s="1013"/>
      <c r="EB3" s="1013"/>
      <c r="EC3" s="1013"/>
      <c r="ED3" s="1013"/>
      <c r="EE3" s="1013"/>
      <c r="EF3" s="1013"/>
      <c r="EG3" s="1013"/>
      <c r="EH3" s="1013"/>
      <c r="EI3" s="1013"/>
      <c r="EJ3" s="1013"/>
      <c r="EK3" s="1013"/>
      <c r="EL3" s="1013"/>
      <c r="EM3" s="1013"/>
      <c r="EN3" s="1013"/>
      <c r="EO3" s="1013"/>
      <c r="EP3" s="1013"/>
      <c r="EQ3" s="1013"/>
      <c r="ER3" s="1013"/>
      <c r="ES3" s="1013"/>
      <c r="ET3" s="1013"/>
      <c r="EU3" s="1013"/>
      <c r="EV3" s="1013"/>
      <c r="EW3" s="1013"/>
      <c r="EX3" s="1013"/>
      <c r="EY3" s="1013"/>
      <c r="EZ3" s="1013"/>
      <c r="FA3" s="1013"/>
      <c r="FB3" s="1013"/>
      <c r="FC3" s="1013"/>
      <c r="FD3" s="1013"/>
      <c r="FE3" s="1013"/>
      <c r="FF3" s="1013"/>
      <c r="FG3" s="1013"/>
      <c r="FH3" s="1013"/>
      <c r="FI3" s="1013"/>
      <c r="FJ3" s="1013"/>
      <c r="FK3" s="1013"/>
      <c r="FL3" s="1013"/>
      <c r="FM3" s="1013"/>
      <c r="FN3" s="1013"/>
      <c r="FO3" s="1013"/>
      <c r="FP3" s="1013"/>
      <c r="FQ3" s="1013"/>
      <c r="FR3" s="1013"/>
      <c r="FS3" s="1013"/>
      <c r="FT3" s="1013"/>
      <c r="FU3" s="1013"/>
      <c r="FV3" s="1013"/>
      <c r="FW3" s="1013"/>
      <c r="FX3" s="1013"/>
      <c r="FY3" s="1013"/>
      <c r="FZ3" s="1013"/>
      <c r="GA3" s="1013"/>
      <c r="GB3" s="1013"/>
      <c r="GC3" s="1013"/>
      <c r="GD3" s="1013"/>
      <c r="GE3" s="1013"/>
      <c r="GF3" s="1013"/>
      <c r="GG3" s="1013"/>
      <c r="GH3" s="1013"/>
      <c r="GI3" s="1013"/>
      <c r="GJ3" s="1013"/>
      <c r="GK3" s="1013"/>
      <c r="GL3" s="1013"/>
      <c r="GM3" s="1013"/>
      <c r="GN3" s="1013"/>
      <c r="GO3" s="1013"/>
      <c r="GP3" s="1013"/>
      <c r="GQ3" s="1013"/>
      <c r="GR3" s="1013"/>
      <c r="GS3" s="1013"/>
      <c r="GT3" s="1013"/>
      <c r="GU3" s="1013"/>
      <c r="GV3" s="1013"/>
      <c r="GW3" s="1013"/>
      <c r="GX3" s="1013"/>
      <c r="GY3" s="1013"/>
      <c r="GZ3" s="1013"/>
      <c r="HA3" s="1013"/>
    </row>
    <row r="4" spans="1:209" s="1036" customFormat="1" ht="30.75" customHeight="1">
      <c r="A4" s="963"/>
      <c r="B4" s="964"/>
      <c r="C4" s="964"/>
      <c r="D4" s="963"/>
      <c r="E4" s="959"/>
      <c r="F4" s="963"/>
      <c r="G4" s="963"/>
      <c r="H4" s="963"/>
      <c r="I4" s="963"/>
      <c r="J4" s="963"/>
      <c r="K4" s="965"/>
      <c r="L4" s="965"/>
      <c r="M4" s="965"/>
      <c r="N4" s="965"/>
      <c r="O4" s="965"/>
      <c r="P4" s="965"/>
      <c r="Q4" s="966" t="s">
        <v>675</v>
      </c>
      <c r="R4" s="963"/>
      <c r="S4" s="963"/>
      <c r="T4" s="965"/>
      <c r="U4" s="965"/>
      <c r="V4" s="965"/>
      <c r="W4" s="965"/>
      <c r="X4" s="965"/>
      <c r="Y4" s="965"/>
      <c r="Z4" s="965"/>
      <c r="AA4" s="961"/>
      <c r="AB4" s="965"/>
      <c r="AC4" s="961"/>
      <c r="AD4" s="965"/>
      <c r="AE4" s="965"/>
      <c r="AF4" s="965"/>
      <c r="AG4" s="965"/>
      <c r="AH4" s="965"/>
      <c r="AI4" s="1022"/>
      <c r="AJ4" s="1022"/>
      <c r="AK4" s="1014"/>
      <c r="AL4" s="1014"/>
      <c r="AM4" s="1003"/>
      <c r="AN4" s="1003"/>
      <c r="AO4" s="1003"/>
      <c r="AP4" s="1003"/>
      <c r="AQ4" s="1003"/>
      <c r="AR4" s="1003"/>
      <c r="AS4" s="1003"/>
      <c r="AT4" s="1003"/>
      <c r="AU4" s="1003"/>
      <c r="AV4" s="1003"/>
      <c r="AW4" s="1003"/>
      <c r="AX4" s="1003"/>
      <c r="AY4" s="1003"/>
      <c r="AZ4" s="1003"/>
      <c r="BA4" s="1003"/>
      <c r="BB4" s="1003"/>
      <c r="BC4" s="1003"/>
      <c r="BD4" s="1003"/>
      <c r="BE4" s="1003"/>
      <c r="BF4" s="1003"/>
      <c r="BG4" s="1003"/>
      <c r="BH4" s="1003"/>
      <c r="BI4" s="1003"/>
      <c r="BJ4" s="1003"/>
      <c r="BK4" s="1003"/>
      <c r="BL4" s="1003"/>
      <c r="BM4" s="1003"/>
      <c r="BN4" s="1003"/>
      <c r="BO4" s="1003"/>
      <c r="BP4" s="1003"/>
      <c r="BQ4" s="1003"/>
      <c r="BR4" s="1003"/>
      <c r="BS4" s="1003"/>
      <c r="BT4" s="1003"/>
      <c r="BU4" s="1003"/>
      <c r="BV4" s="1003"/>
      <c r="BW4" s="1003"/>
      <c r="BX4" s="1003"/>
      <c r="BY4" s="1003"/>
      <c r="BZ4" s="1003"/>
      <c r="CA4" s="1003"/>
      <c r="CB4" s="1003"/>
      <c r="CC4" s="1003"/>
      <c r="CD4" s="1003"/>
      <c r="CE4" s="1003"/>
      <c r="CF4" s="1003"/>
      <c r="CG4" s="1003"/>
      <c r="CH4" s="1003"/>
      <c r="CI4" s="1003"/>
      <c r="CJ4" s="1003"/>
      <c r="CK4" s="1003"/>
      <c r="CL4" s="1003"/>
      <c r="CM4" s="1003"/>
      <c r="CN4" s="1003"/>
      <c r="CO4" s="1003"/>
      <c r="CP4" s="1003"/>
      <c r="CQ4" s="1003"/>
      <c r="CR4" s="1003"/>
      <c r="CS4" s="1003"/>
      <c r="CT4" s="1003"/>
      <c r="CU4" s="1003"/>
      <c r="CV4" s="1003"/>
      <c r="CW4" s="1003"/>
      <c r="CX4" s="1003"/>
      <c r="CY4" s="1003"/>
      <c r="CZ4" s="1003"/>
      <c r="DA4" s="1003"/>
      <c r="DB4" s="1003"/>
      <c r="DC4" s="1003"/>
      <c r="DD4" s="1003"/>
      <c r="DE4" s="1003"/>
      <c r="DF4" s="1003"/>
      <c r="DG4" s="1003"/>
      <c r="DH4" s="1003"/>
      <c r="DI4" s="1003"/>
      <c r="DJ4" s="1003"/>
      <c r="DK4" s="1003"/>
      <c r="DL4" s="1003"/>
      <c r="DM4" s="1003"/>
      <c r="DN4" s="1003"/>
      <c r="DO4" s="1003"/>
      <c r="DP4" s="1003"/>
      <c r="DQ4" s="1003"/>
      <c r="DR4" s="1003"/>
      <c r="DS4" s="1003"/>
      <c r="DT4" s="1003"/>
      <c r="DU4" s="1003"/>
      <c r="DV4" s="1003"/>
      <c r="DW4" s="1003"/>
      <c r="DX4" s="1003"/>
      <c r="DY4" s="1003"/>
      <c r="DZ4" s="1003"/>
      <c r="EA4" s="1003"/>
      <c r="EB4" s="1003"/>
      <c r="EC4" s="1003"/>
      <c r="ED4" s="1003"/>
      <c r="EE4" s="1003"/>
      <c r="EF4" s="1003"/>
      <c r="EG4" s="1003"/>
      <c r="EH4" s="1003"/>
      <c r="EI4" s="1003"/>
      <c r="EJ4" s="1003"/>
      <c r="EK4" s="1003"/>
      <c r="EL4" s="1003"/>
      <c r="EM4" s="1003"/>
      <c r="EN4" s="1003"/>
      <c r="EO4" s="1003"/>
      <c r="EP4" s="1003"/>
      <c r="EQ4" s="1003"/>
      <c r="ER4" s="1003"/>
      <c r="ES4" s="1003"/>
      <c r="ET4" s="1003"/>
      <c r="EU4" s="1003"/>
      <c r="EV4" s="1003"/>
      <c r="EW4" s="1003"/>
      <c r="EX4" s="1003"/>
      <c r="EY4" s="1003"/>
      <c r="EZ4" s="1003"/>
      <c r="FA4" s="1003"/>
      <c r="FB4" s="1003"/>
      <c r="FC4" s="1003"/>
      <c r="FD4" s="1003"/>
      <c r="FE4" s="1003"/>
      <c r="FF4" s="1003"/>
      <c r="FG4" s="1003"/>
      <c r="FH4" s="1003"/>
      <c r="FI4" s="1003"/>
      <c r="FJ4" s="1003"/>
      <c r="FK4" s="1003"/>
      <c r="FL4" s="1003"/>
      <c r="FM4" s="1003"/>
      <c r="FN4" s="1003"/>
      <c r="FO4" s="1003"/>
      <c r="FP4" s="1003"/>
      <c r="FQ4" s="1003"/>
      <c r="FR4" s="1003"/>
      <c r="FS4" s="1003"/>
      <c r="FT4" s="1003"/>
      <c r="FU4" s="1003"/>
      <c r="FV4" s="1003"/>
      <c r="FW4" s="1003"/>
      <c r="FX4" s="1003"/>
      <c r="FY4" s="1003"/>
      <c r="FZ4" s="1003"/>
      <c r="GA4" s="1003"/>
      <c r="GB4" s="1003"/>
      <c r="GC4" s="1003"/>
      <c r="GD4" s="1003"/>
      <c r="GE4" s="1003"/>
      <c r="GF4" s="1003"/>
      <c r="GG4" s="1003"/>
      <c r="GH4" s="1003"/>
      <c r="GI4" s="1003"/>
      <c r="GJ4" s="1003"/>
      <c r="GK4" s="1003"/>
      <c r="GL4" s="1003"/>
      <c r="GM4" s="1003"/>
      <c r="GN4" s="1003"/>
      <c r="GO4" s="1003"/>
      <c r="GP4" s="1003"/>
      <c r="GQ4" s="1003"/>
      <c r="GR4" s="1003"/>
      <c r="GS4" s="1003"/>
      <c r="GT4" s="1003"/>
      <c r="GU4" s="1003"/>
      <c r="GV4" s="1003"/>
      <c r="GW4" s="1003"/>
      <c r="GX4" s="1003"/>
      <c r="GY4" s="1003"/>
      <c r="GZ4" s="1003"/>
      <c r="HA4" s="1003"/>
    </row>
    <row r="5" spans="1:209" s="1036" customFormat="1" ht="33" customHeight="1">
      <c r="A5" s="950">
        <v>1</v>
      </c>
      <c r="B5" s="952" t="s">
        <v>640</v>
      </c>
      <c r="C5" s="952" t="s">
        <v>676</v>
      </c>
      <c r="D5" s="950" t="s">
        <v>597</v>
      </c>
      <c r="E5" s="959">
        <v>1</v>
      </c>
      <c r="F5" s="960" t="s">
        <v>733</v>
      </c>
      <c r="G5" s="950">
        <v>7.17</v>
      </c>
      <c r="H5" s="958">
        <v>17697</v>
      </c>
      <c r="I5" s="955">
        <v>2</v>
      </c>
      <c r="J5" s="950"/>
      <c r="K5" s="958">
        <f t="shared" ref="K5:K8" si="0">H5*G5*E5*I5</f>
        <v>253774.98</v>
      </c>
      <c r="L5" s="958"/>
      <c r="M5" s="958"/>
      <c r="N5" s="958"/>
      <c r="O5" s="958"/>
      <c r="P5" s="958"/>
      <c r="Q5" s="958"/>
      <c r="R5" s="958"/>
      <c r="S5" s="958"/>
      <c r="T5" s="958"/>
      <c r="U5" s="958"/>
      <c r="V5" s="958"/>
      <c r="W5" s="958"/>
      <c r="X5" s="958"/>
      <c r="Y5" s="958">
        <v>100</v>
      </c>
      <c r="Z5" s="959">
        <f>Y5*350%</f>
        <v>350</v>
      </c>
      <c r="AA5" s="959">
        <f t="shared" ref="AA5:AA8" si="1">K5*Z5%</f>
        <v>888212.43</v>
      </c>
      <c r="AB5" s="958"/>
      <c r="AC5" s="959"/>
      <c r="AD5" s="958">
        <f t="shared" ref="AD5:AD8" si="2">K5*0.1</f>
        <v>25377.498000000003</v>
      </c>
      <c r="AE5" s="958">
        <f t="shared" ref="AE5:AE8" si="3">K5+N5+O5+Q5+S5+U5+W5+X5+AA5+AD5+AC5</f>
        <v>1167364.9080000001</v>
      </c>
      <c r="AF5" s="958">
        <f>AE5*12</f>
        <v>14008378.896000002</v>
      </c>
      <c r="AG5" s="958">
        <f t="shared" ref="AG5:AG8" si="4">K5</f>
        <v>253774.98</v>
      </c>
      <c r="AH5" s="958">
        <f>AE5*12+AG5</f>
        <v>14262153.876000002</v>
      </c>
      <c r="AI5" s="1022"/>
      <c r="AJ5" s="1022"/>
      <c r="AK5" s="1014"/>
      <c r="AL5" s="1014"/>
      <c r="AM5" s="1003"/>
      <c r="AN5" s="1003"/>
      <c r="AO5" s="1003"/>
      <c r="AP5" s="1003"/>
      <c r="AQ5" s="1003"/>
      <c r="AR5" s="1003"/>
      <c r="AS5" s="1003"/>
      <c r="AT5" s="1003"/>
      <c r="AU5" s="1003"/>
      <c r="AV5" s="1003"/>
      <c r="AW5" s="1003"/>
      <c r="AX5" s="1003"/>
      <c r="AY5" s="1003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3"/>
      <c r="BK5" s="1003"/>
      <c r="BL5" s="1003"/>
      <c r="BM5" s="1003"/>
      <c r="BN5" s="1003"/>
      <c r="BO5" s="1003"/>
      <c r="BP5" s="1003"/>
      <c r="BQ5" s="1003"/>
      <c r="BR5" s="1003"/>
      <c r="BS5" s="1003"/>
      <c r="BT5" s="1003"/>
      <c r="BU5" s="1003"/>
      <c r="BV5" s="1003"/>
      <c r="BW5" s="1003"/>
      <c r="BX5" s="1003"/>
      <c r="BY5" s="1003"/>
      <c r="BZ5" s="1003"/>
      <c r="CA5" s="1003"/>
      <c r="CB5" s="1003"/>
      <c r="CC5" s="1003"/>
      <c r="CD5" s="1003"/>
      <c r="CE5" s="1003"/>
      <c r="CF5" s="1003"/>
      <c r="CG5" s="1003"/>
      <c r="CH5" s="1003"/>
      <c r="CI5" s="1003"/>
      <c r="CJ5" s="1003"/>
      <c r="CK5" s="1003"/>
      <c r="CL5" s="1003"/>
      <c r="CM5" s="1003"/>
      <c r="CN5" s="1003"/>
      <c r="CO5" s="1003"/>
      <c r="CP5" s="1003"/>
      <c r="CQ5" s="1003"/>
      <c r="CR5" s="1003"/>
      <c r="CS5" s="1003"/>
      <c r="CT5" s="1003"/>
      <c r="CU5" s="1003"/>
      <c r="CV5" s="1003"/>
      <c r="CW5" s="1003"/>
      <c r="CX5" s="1003"/>
      <c r="CY5" s="1003"/>
      <c r="CZ5" s="1003"/>
      <c r="DA5" s="1003"/>
      <c r="DB5" s="1003"/>
      <c r="DC5" s="1003"/>
      <c r="DD5" s="1003"/>
      <c r="DE5" s="1003"/>
      <c r="DF5" s="1003"/>
      <c r="DG5" s="1003"/>
      <c r="DH5" s="1003"/>
      <c r="DI5" s="1003"/>
      <c r="DJ5" s="1003"/>
      <c r="DK5" s="1003"/>
      <c r="DL5" s="1003"/>
      <c r="DM5" s="1003"/>
      <c r="DN5" s="1003"/>
      <c r="DO5" s="1003"/>
      <c r="DP5" s="1003"/>
      <c r="DQ5" s="1003"/>
      <c r="DR5" s="1003"/>
      <c r="DS5" s="1003"/>
      <c r="DT5" s="1003"/>
      <c r="DU5" s="1003"/>
      <c r="DV5" s="1003"/>
      <c r="DW5" s="1003"/>
      <c r="DX5" s="1003"/>
      <c r="DY5" s="1003"/>
      <c r="DZ5" s="1003"/>
      <c r="EA5" s="1003"/>
      <c r="EB5" s="1003"/>
      <c r="EC5" s="1003"/>
      <c r="ED5" s="1003"/>
      <c r="EE5" s="1003"/>
      <c r="EF5" s="1003"/>
      <c r="EG5" s="1003"/>
      <c r="EH5" s="1003"/>
      <c r="EI5" s="1003"/>
      <c r="EJ5" s="1003"/>
      <c r="EK5" s="1003"/>
      <c r="EL5" s="1003"/>
      <c r="EM5" s="1003"/>
      <c r="EN5" s="1003"/>
      <c r="EO5" s="1003"/>
      <c r="EP5" s="1003"/>
      <c r="EQ5" s="1003"/>
      <c r="ER5" s="1003"/>
      <c r="ES5" s="1003"/>
      <c r="ET5" s="1003"/>
      <c r="EU5" s="1003"/>
      <c r="EV5" s="1003"/>
      <c r="EW5" s="1003"/>
      <c r="EX5" s="1003"/>
      <c r="EY5" s="1003"/>
      <c r="EZ5" s="1003"/>
      <c r="FA5" s="1003"/>
      <c r="FB5" s="1003"/>
      <c r="FC5" s="1003"/>
      <c r="FD5" s="1003"/>
      <c r="FE5" s="1003"/>
      <c r="FF5" s="1003"/>
      <c r="FG5" s="1003"/>
      <c r="FH5" s="1003"/>
      <c r="FI5" s="1003"/>
      <c r="FJ5" s="1003"/>
      <c r="FK5" s="1003"/>
      <c r="FL5" s="1003"/>
      <c r="FM5" s="1003"/>
      <c r="FN5" s="1003"/>
      <c r="FO5" s="1003"/>
      <c r="FP5" s="1003"/>
      <c r="FQ5" s="1003"/>
      <c r="FR5" s="1003"/>
      <c r="FS5" s="1003"/>
      <c r="FT5" s="1003"/>
      <c r="FU5" s="1003"/>
      <c r="FV5" s="1003"/>
      <c r="FW5" s="1003"/>
      <c r="FX5" s="1003"/>
      <c r="FY5" s="1003"/>
      <c r="FZ5" s="1003"/>
      <c r="GA5" s="1003"/>
      <c r="GB5" s="1003"/>
      <c r="GC5" s="1003"/>
      <c r="GD5" s="1003"/>
      <c r="GE5" s="1003"/>
      <c r="GF5" s="1003"/>
      <c r="GG5" s="1003"/>
      <c r="GH5" s="1003"/>
      <c r="GI5" s="1003"/>
      <c r="GJ5" s="1003"/>
      <c r="GK5" s="1003"/>
      <c r="GL5" s="1003"/>
      <c r="GM5" s="1003"/>
      <c r="GN5" s="1003"/>
      <c r="GO5" s="1003"/>
      <c r="GP5" s="1003"/>
      <c r="GQ5" s="1003"/>
      <c r="GR5" s="1003"/>
      <c r="GS5" s="1003"/>
      <c r="GT5" s="1003"/>
      <c r="GU5" s="1003"/>
      <c r="GV5" s="1003"/>
      <c r="GW5" s="1003"/>
      <c r="GX5" s="1003"/>
      <c r="GY5" s="1003"/>
      <c r="GZ5" s="1003"/>
      <c r="HA5" s="1003"/>
    </row>
    <row r="6" spans="1:209" s="1036" customFormat="1" ht="42.75" customHeight="1">
      <c r="A6" s="950">
        <v>2</v>
      </c>
      <c r="B6" s="952" t="s">
        <v>1169</v>
      </c>
      <c r="C6" s="952" t="s">
        <v>677</v>
      </c>
      <c r="D6" s="950" t="s">
        <v>598</v>
      </c>
      <c r="E6" s="959">
        <v>1</v>
      </c>
      <c r="F6" s="960" t="s">
        <v>733</v>
      </c>
      <c r="G6" s="950">
        <v>6.82</v>
      </c>
      <c r="H6" s="958">
        <v>17697</v>
      </c>
      <c r="I6" s="955">
        <v>2</v>
      </c>
      <c r="J6" s="950"/>
      <c r="K6" s="958">
        <f t="shared" si="0"/>
        <v>241387.08000000002</v>
      </c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8"/>
      <c r="Y6" s="958">
        <v>90</v>
      </c>
      <c r="Z6" s="959">
        <f t="shared" ref="Z6:Z8" si="5">Y6*350%</f>
        <v>315</v>
      </c>
      <c r="AA6" s="959">
        <f t="shared" si="1"/>
        <v>760369.30200000003</v>
      </c>
      <c r="AB6" s="958"/>
      <c r="AC6" s="959"/>
      <c r="AD6" s="958">
        <f t="shared" si="2"/>
        <v>24138.708000000002</v>
      </c>
      <c r="AE6" s="958">
        <f t="shared" si="3"/>
        <v>1025895.09</v>
      </c>
      <c r="AF6" s="958">
        <f t="shared" ref="AF6:AF8" si="6">AE6*12</f>
        <v>12310741.08</v>
      </c>
      <c r="AG6" s="958">
        <f t="shared" si="4"/>
        <v>241387.08000000002</v>
      </c>
      <c r="AH6" s="958">
        <f t="shared" ref="AH6:AH8" si="7">AE6*12+AG6</f>
        <v>12552128.16</v>
      </c>
      <c r="AI6" s="1022">
        <v>11803828.212000001</v>
      </c>
      <c r="AJ6" s="1022">
        <f>AF6-AI6</f>
        <v>506912.86799999885</v>
      </c>
      <c r="AK6" s="1014"/>
      <c r="AL6" s="1014"/>
      <c r="AM6" s="1003"/>
      <c r="AN6" s="1003"/>
      <c r="AO6" s="1003"/>
      <c r="AP6" s="1003"/>
      <c r="AQ6" s="1003"/>
      <c r="AR6" s="1003"/>
      <c r="AS6" s="1003"/>
      <c r="AT6" s="1003"/>
      <c r="AU6" s="1003"/>
      <c r="AV6" s="1003"/>
      <c r="AW6" s="1003"/>
      <c r="AX6" s="1003"/>
      <c r="AY6" s="1003"/>
      <c r="AZ6" s="1003"/>
      <c r="BA6" s="1003"/>
      <c r="BB6" s="1003"/>
      <c r="BC6" s="1003"/>
      <c r="BD6" s="1003"/>
      <c r="BE6" s="1003"/>
      <c r="BF6" s="1003"/>
      <c r="BG6" s="1003"/>
      <c r="BH6" s="1003"/>
      <c r="BI6" s="1003"/>
      <c r="BJ6" s="1003"/>
      <c r="BK6" s="1003"/>
      <c r="BL6" s="1003"/>
      <c r="BM6" s="1003"/>
      <c r="BN6" s="1003"/>
      <c r="BO6" s="1003"/>
      <c r="BP6" s="1003"/>
      <c r="BQ6" s="1003"/>
      <c r="BR6" s="1003"/>
      <c r="BS6" s="1003"/>
      <c r="BT6" s="1003"/>
      <c r="BU6" s="1003"/>
      <c r="BV6" s="1003"/>
      <c r="BW6" s="1003"/>
      <c r="BX6" s="1003"/>
      <c r="BY6" s="1003"/>
      <c r="BZ6" s="1003"/>
      <c r="CA6" s="1003"/>
      <c r="CB6" s="1003"/>
      <c r="CC6" s="1003"/>
      <c r="CD6" s="1003"/>
      <c r="CE6" s="1003"/>
      <c r="CF6" s="1003"/>
      <c r="CG6" s="1003"/>
      <c r="CH6" s="1003"/>
      <c r="CI6" s="1003"/>
      <c r="CJ6" s="1003"/>
      <c r="CK6" s="1003"/>
      <c r="CL6" s="1003"/>
      <c r="CM6" s="1003"/>
      <c r="CN6" s="1003"/>
      <c r="CO6" s="1003"/>
      <c r="CP6" s="1003"/>
      <c r="CQ6" s="1003"/>
      <c r="CR6" s="1003"/>
      <c r="CS6" s="1003"/>
      <c r="CT6" s="1003"/>
      <c r="CU6" s="1003"/>
      <c r="CV6" s="1003"/>
      <c r="CW6" s="1003"/>
      <c r="CX6" s="1003"/>
      <c r="CY6" s="1003"/>
      <c r="CZ6" s="1003"/>
      <c r="DA6" s="1003"/>
      <c r="DB6" s="1003"/>
      <c r="DC6" s="1003"/>
      <c r="DD6" s="1003"/>
      <c r="DE6" s="1003"/>
      <c r="DF6" s="1003"/>
      <c r="DG6" s="1003"/>
      <c r="DH6" s="1003"/>
      <c r="DI6" s="1003"/>
      <c r="DJ6" s="1003"/>
      <c r="DK6" s="1003"/>
      <c r="DL6" s="1003"/>
      <c r="DM6" s="1003"/>
      <c r="DN6" s="1003"/>
      <c r="DO6" s="1003"/>
      <c r="DP6" s="1003"/>
      <c r="DQ6" s="1003"/>
      <c r="DR6" s="1003"/>
      <c r="DS6" s="1003"/>
      <c r="DT6" s="1003"/>
      <c r="DU6" s="1003"/>
      <c r="DV6" s="1003"/>
      <c r="DW6" s="1003"/>
      <c r="DX6" s="1003"/>
      <c r="DY6" s="1003"/>
      <c r="DZ6" s="1003"/>
      <c r="EA6" s="1003"/>
      <c r="EB6" s="1003"/>
      <c r="EC6" s="1003"/>
      <c r="ED6" s="1003"/>
      <c r="EE6" s="1003"/>
      <c r="EF6" s="1003"/>
      <c r="EG6" s="1003"/>
      <c r="EH6" s="1003"/>
      <c r="EI6" s="1003"/>
      <c r="EJ6" s="1003"/>
      <c r="EK6" s="1003"/>
      <c r="EL6" s="1003"/>
      <c r="EM6" s="1003"/>
      <c r="EN6" s="1003"/>
      <c r="EO6" s="1003"/>
      <c r="EP6" s="1003"/>
      <c r="EQ6" s="1003"/>
      <c r="ER6" s="1003"/>
      <c r="ES6" s="1003"/>
      <c r="ET6" s="1003"/>
      <c r="EU6" s="1003"/>
      <c r="EV6" s="1003"/>
      <c r="EW6" s="1003"/>
      <c r="EX6" s="1003"/>
      <c r="EY6" s="1003"/>
      <c r="EZ6" s="1003"/>
      <c r="FA6" s="1003"/>
      <c r="FB6" s="1003"/>
      <c r="FC6" s="1003"/>
      <c r="FD6" s="1003"/>
      <c r="FE6" s="1003"/>
      <c r="FF6" s="1003"/>
      <c r="FG6" s="1003"/>
      <c r="FH6" s="1003"/>
      <c r="FI6" s="1003"/>
      <c r="FJ6" s="1003"/>
      <c r="FK6" s="1003"/>
      <c r="FL6" s="1003"/>
      <c r="FM6" s="1003"/>
      <c r="FN6" s="1003"/>
      <c r="FO6" s="1003"/>
      <c r="FP6" s="1003"/>
      <c r="FQ6" s="1003"/>
      <c r="FR6" s="1003"/>
      <c r="FS6" s="1003"/>
      <c r="FT6" s="1003"/>
      <c r="FU6" s="1003"/>
      <c r="FV6" s="1003"/>
      <c r="FW6" s="1003"/>
      <c r="FX6" s="1003"/>
      <c r="FY6" s="1003"/>
      <c r="FZ6" s="1003"/>
      <c r="GA6" s="1003"/>
      <c r="GB6" s="1003"/>
      <c r="GC6" s="1003"/>
      <c r="GD6" s="1003"/>
      <c r="GE6" s="1003"/>
      <c r="GF6" s="1003"/>
      <c r="GG6" s="1003"/>
      <c r="GH6" s="1003"/>
      <c r="GI6" s="1003"/>
      <c r="GJ6" s="1003"/>
      <c r="GK6" s="1003"/>
      <c r="GL6" s="1003"/>
      <c r="GM6" s="1003"/>
      <c r="GN6" s="1003"/>
      <c r="GO6" s="1003"/>
      <c r="GP6" s="1003"/>
      <c r="GQ6" s="1003"/>
      <c r="GR6" s="1003"/>
      <c r="GS6" s="1003"/>
      <c r="GT6" s="1003"/>
      <c r="GU6" s="1003"/>
      <c r="GV6" s="1003"/>
      <c r="GW6" s="1003"/>
      <c r="GX6" s="1003"/>
      <c r="GY6" s="1003"/>
      <c r="GZ6" s="1003"/>
      <c r="HA6" s="1003"/>
    </row>
    <row r="7" spans="1:209" s="1003" customFormat="1" ht="64.5" customHeight="1">
      <c r="A7" s="950">
        <v>3</v>
      </c>
      <c r="B7" s="952" t="s">
        <v>1170</v>
      </c>
      <c r="C7" s="952" t="s">
        <v>678</v>
      </c>
      <c r="D7" s="950" t="s">
        <v>598</v>
      </c>
      <c r="E7" s="950">
        <v>1</v>
      </c>
      <c r="F7" s="960" t="s">
        <v>733</v>
      </c>
      <c r="G7" s="950">
        <v>6.82</v>
      </c>
      <c r="H7" s="958">
        <v>17697</v>
      </c>
      <c r="I7" s="955">
        <v>2</v>
      </c>
      <c r="J7" s="950"/>
      <c r="K7" s="958">
        <f>H7*G7*E7*I7</f>
        <v>241387.08000000002</v>
      </c>
      <c r="L7" s="950"/>
      <c r="M7" s="950"/>
      <c r="N7" s="950"/>
      <c r="O7" s="950"/>
      <c r="P7" s="950"/>
      <c r="Q7" s="962"/>
      <c r="R7" s="950"/>
      <c r="S7" s="950"/>
      <c r="T7" s="950"/>
      <c r="U7" s="950"/>
      <c r="V7" s="950"/>
      <c r="W7" s="950"/>
      <c r="X7" s="950"/>
      <c r="Y7" s="958">
        <v>90</v>
      </c>
      <c r="Z7" s="959">
        <f t="shared" si="5"/>
        <v>315</v>
      </c>
      <c r="AA7" s="959">
        <f>K7*Z7%</f>
        <v>760369.30200000003</v>
      </c>
      <c r="AB7" s="950"/>
      <c r="AC7" s="950"/>
      <c r="AD7" s="958">
        <f t="shared" si="2"/>
        <v>24138.708000000002</v>
      </c>
      <c r="AE7" s="958">
        <f t="shared" si="3"/>
        <v>1025895.09</v>
      </c>
      <c r="AF7" s="958">
        <f t="shared" si="6"/>
        <v>12310741.08</v>
      </c>
      <c r="AG7" s="958">
        <f t="shared" si="4"/>
        <v>241387.08000000002</v>
      </c>
      <c r="AH7" s="958">
        <f t="shared" si="7"/>
        <v>12552128.16</v>
      </c>
      <c r="AI7" s="1013">
        <v>11803828.212000001</v>
      </c>
      <c r="AJ7" s="1022">
        <f t="shared" ref="AJ7:AJ8" si="8">AF7-AI7</f>
        <v>506912.86799999885</v>
      </c>
      <c r="AK7" s="1021"/>
      <c r="AL7" s="1021"/>
    </row>
    <row r="8" spans="1:209" s="1003" customFormat="1" ht="57.75" customHeight="1">
      <c r="A8" s="950">
        <v>4</v>
      </c>
      <c r="B8" s="952" t="s">
        <v>679</v>
      </c>
      <c r="C8" s="952" t="s">
        <v>680</v>
      </c>
      <c r="D8" s="950" t="s">
        <v>599</v>
      </c>
      <c r="E8" s="950">
        <v>1</v>
      </c>
      <c r="F8" s="960" t="s">
        <v>733</v>
      </c>
      <c r="G8" s="956">
        <v>6.52</v>
      </c>
      <c r="H8" s="958">
        <v>17697</v>
      </c>
      <c r="I8" s="955">
        <v>2</v>
      </c>
      <c r="J8" s="950"/>
      <c r="K8" s="958">
        <f t="shared" si="0"/>
        <v>230768.87999999998</v>
      </c>
      <c r="L8" s="950"/>
      <c r="M8" s="950"/>
      <c r="N8" s="950"/>
      <c r="O8" s="950"/>
      <c r="P8" s="950"/>
      <c r="Q8" s="962"/>
      <c r="R8" s="950"/>
      <c r="S8" s="950"/>
      <c r="T8" s="950"/>
      <c r="U8" s="950"/>
      <c r="V8" s="950"/>
      <c r="W8" s="950"/>
      <c r="X8" s="950"/>
      <c r="Y8" s="958">
        <v>90</v>
      </c>
      <c r="Z8" s="959">
        <f t="shared" si="5"/>
        <v>315</v>
      </c>
      <c r="AA8" s="959">
        <f t="shared" si="1"/>
        <v>726921.97199999995</v>
      </c>
      <c r="AB8" s="950"/>
      <c r="AC8" s="950"/>
      <c r="AD8" s="958">
        <f t="shared" si="2"/>
        <v>23076.887999999999</v>
      </c>
      <c r="AE8" s="958">
        <f t="shared" si="3"/>
        <v>980767.74</v>
      </c>
      <c r="AF8" s="958">
        <f t="shared" si="6"/>
        <v>11769212.879999999</v>
      </c>
      <c r="AG8" s="958">
        <f t="shared" si="4"/>
        <v>230768.87999999998</v>
      </c>
      <c r="AH8" s="958">
        <f t="shared" si="7"/>
        <v>11999981.76</v>
      </c>
      <c r="AI8" s="1013">
        <v>11284598.232000001</v>
      </c>
      <c r="AJ8" s="1022">
        <f t="shared" si="8"/>
        <v>484614.64799999818</v>
      </c>
      <c r="AK8" s="1021"/>
      <c r="AL8" s="1021"/>
    </row>
    <row r="9" spans="1:209" s="1013" customFormat="1" ht="28.5" customHeight="1">
      <c r="A9" s="963"/>
      <c r="B9" s="964" t="s">
        <v>627</v>
      </c>
      <c r="C9" s="964"/>
      <c r="D9" s="963"/>
      <c r="E9" s="965">
        <f>SUM(E5:E8)</f>
        <v>4</v>
      </c>
      <c r="F9" s="963"/>
      <c r="G9" s="963"/>
      <c r="H9" s="963"/>
      <c r="I9" s="963"/>
      <c r="J9" s="963"/>
      <c r="K9" s="965">
        <f>SUM(K5:K8)</f>
        <v>967318.02000000014</v>
      </c>
      <c r="L9" s="965">
        <f>SUM(L5:L8)</f>
        <v>0</v>
      </c>
      <c r="M9" s="965">
        <f>SUM(M5:M8)</f>
        <v>0</v>
      </c>
      <c r="N9" s="965">
        <f>SUM(N5:N8)</f>
        <v>0</v>
      </c>
      <c r="O9" s="965">
        <f>SUM(O5:O8)</f>
        <v>0</v>
      </c>
      <c r="P9" s="965"/>
      <c r="Q9" s="965">
        <f>SUM(Q5:Q8)</f>
        <v>0</v>
      </c>
      <c r="R9" s="965"/>
      <c r="S9" s="965">
        <f>SUM(S5:S8)</f>
        <v>0</v>
      </c>
      <c r="T9" s="965"/>
      <c r="U9" s="965">
        <f>SUM(U5:U8)</f>
        <v>0</v>
      </c>
      <c r="V9" s="965"/>
      <c r="W9" s="965">
        <f>SUM(W5:W8)</f>
        <v>0</v>
      </c>
      <c r="X9" s="965">
        <f>SUM(X5:X8)</f>
        <v>0</v>
      </c>
      <c r="Y9" s="965"/>
      <c r="Z9" s="965"/>
      <c r="AA9" s="965">
        <f>SUM(AA5:AA8)</f>
        <v>3135873.0060000001</v>
      </c>
      <c r="AB9" s="965"/>
      <c r="AC9" s="965">
        <f t="shared" ref="AC9:AG9" si="9">SUM(AC5:AC8)</f>
        <v>0</v>
      </c>
      <c r="AD9" s="965">
        <f>SUM(AD5:AD8)</f>
        <v>96731.801999999996</v>
      </c>
      <c r="AE9" s="965">
        <f>SUM(AE5:AE8)</f>
        <v>4199922.8279999997</v>
      </c>
      <c r="AF9" s="965">
        <f t="shared" si="9"/>
        <v>50399073.936000004</v>
      </c>
      <c r="AG9" s="965">
        <f t="shared" si="9"/>
        <v>967318.02000000014</v>
      </c>
      <c r="AH9" s="965">
        <f>SUM(AH5:AH8)</f>
        <v>51366391.956</v>
      </c>
      <c r="AK9" s="1021"/>
      <c r="AL9" s="1021"/>
    </row>
    <row r="10" spans="1:209" s="1015" customFormat="1" ht="26.25" customHeight="1">
      <c r="A10" s="966"/>
      <c r="B10" s="967"/>
      <c r="C10" s="964"/>
      <c r="D10" s="963"/>
      <c r="E10" s="950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6" t="s">
        <v>865</v>
      </c>
      <c r="R10" s="963"/>
      <c r="S10" s="963"/>
      <c r="T10" s="963"/>
      <c r="U10" s="963"/>
      <c r="V10" s="963"/>
      <c r="W10" s="963"/>
      <c r="X10" s="963"/>
      <c r="Y10" s="963"/>
      <c r="Z10" s="963"/>
      <c r="AA10" s="963"/>
      <c r="AB10" s="963"/>
      <c r="AC10" s="963"/>
      <c r="AD10" s="963"/>
      <c r="AE10" s="963"/>
      <c r="AF10" s="963"/>
      <c r="AG10" s="963"/>
      <c r="AH10" s="963"/>
      <c r="AI10" s="1013"/>
      <c r="AJ10" s="1013"/>
      <c r="AK10" s="1014"/>
      <c r="AL10" s="1014"/>
      <c r="AM10" s="1003"/>
      <c r="AN10" s="1003"/>
      <c r="AO10" s="1003"/>
      <c r="AP10" s="1003"/>
      <c r="AQ10" s="1003"/>
      <c r="AR10" s="1003"/>
      <c r="AS10" s="1003"/>
      <c r="AT10" s="1003"/>
      <c r="AU10" s="1003"/>
      <c r="AV10" s="1003"/>
      <c r="AW10" s="1003"/>
      <c r="AX10" s="1003"/>
      <c r="AY10" s="1003"/>
      <c r="AZ10" s="1003"/>
      <c r="BA10" s="1003"/>
      <c r="BB10" s="1003"/>
      <c r="BC10" s="1003"/>
      <c r="BD10" s="1003"/>
      <c r="BE10" s="1003"/>
      <c r="BF10" s="1003"/>
      <c r="BG10" s="1003"/>
      <c r="BH10" s="1003"/>
      <c r="BI10" s="1003"/>
      <c r="BJ10" s="1003"/>
      <c r="BK10" s="1003"/>
      <c r="BL10" s="1003"/>
      <c r="BM10" s="1003"/>
      <c r="BN10" s="1003"/>
      <c r="BO10" s="1003"/>
      <c r="BP10" s="1003"/>
      <c r="BQ10" s="1003"/>
      <c r="BR10" s="1003"/>
      <c r="BS10" s="1003"/>
      <c r="BT10" s="1003"/>
      <c r="BU10" s="1003"/>
      <c r="BV10" s="1003"/>
      <c r="BW10" s="1003"/>
      <c r="BX10" s="1003"/>
      <c r="BY10" s="1003"/>
      <c r="BZ10" s="1003"/>
      <c r="CA10" s="1003"/>
      <c r="CB10" s="1003"/>
      <c r="CC10" s="1003"/>
      <c r="CD10" s="1003"/>
      <c r="CE10" s="1003"/>
      <c r="CF10" s="1003"/>
      <c r="CG10" s="1003"/>
      <c r="CH10" s="1003"/>
      <c r="CI10" s="1003"/>
      <c r="CJ10" s="1003"/>
      <c r="CK10" s="1003"/>
      <c r="CL10" s="1003"/>
      <c r="CM10" s="1003"/>
      <c r="CN10" s="1003"/>
      <c r="CO10" s="1003"/>
      <c r="CP10" s="1003"/>
      <c r="CQ10" s="1003"/>
      <c r="CR10" s="1003"/>
      <c r="CS10" s="1003"/>
      <c r="CT10" s="1003"/>
      <c r="CU10" s="1003"/>
      <c r="CV10" s="1003"/>
      <c r="CW10" s="1003"/>
      <c r="CX10" s="1003"/>
      <c r="CY10" s="1003"/>
      <c r="CZ10" s="1003"/>
      <c r="DA10" s="1003"/>
      <c r="DB10" s="1003"/>
      <c r="DC10" s="1003"/>
      <c r="DD10" s="1003"/>
      <c r="DE10" s="1003"/>
      <c r="DF10" s="1003"/>
      <c r="DG10" s="1003"/>
      <c r="DH10" s="1003"/>
      <c r="DI10" s="1003"/>
      <c r="DJ10" s="1003"/>
      <c r="DK10" s="1003"/>
      <c r="DL10" s="1003"/>
      <c r="DM10" s="1003"/>
      <c r="DN10" s="1003"/>
      <c r="DO10" s="1003"/>
      <c r="DP10" s="1003"/>
      <c r="DQ10" s="1003"/>
      <c r="DR10" s="1003"/>
      <c r="DS10" s="1003"/>
      <c r="DT10" s="1003"/>
      <c r="DU10" s="1003"/>
      <c r="DV10" s="1003"/>
      <c r="DW10" s="1003"/>
      <c r="DX10" s="1003"/>
      <c r="DY10" s="1003"/>
      <c r="DZ10" s="1003"/>
      <c r="EA10" s="1003"/>
      <c r="EB10" s="1003"/>
      <c r="EC10" s="1003"/>
      <c r="ED10" s="1003"/>
      <c r="EE10" s="1003"/>
      <c r="EF10" s="1003"/>
      <c r="EG10" s="1003"/>
      <c r="EH10" s="1003"/>
      <c r="EI10" s="1003"/>
      <c r="EJ10" s="1003"/>
      <c r="EK10" s="1003"/>
      <c r="EL10" s="1003"/>
      <c r="EM10" s="1003"/>
      <c r="EN10" s="1003"/>
      <c r="EO10" s="1003"/>
      <c r="EP10" s="1003"/>
      <c r="EQ10" s="1003"/>
      <c r="ER10" s="1003"/>
      <c r="ES10" s="1003"/>
      <c r="ET10" s="1003"/>
      <c r="EU10" s="1003"/>
      <c r="EV10" s="1003"/>
      <c r="EW10" s="1003"/>
      <c r="EX10" s="1003"/>
      <c r="EY10" s="1003"/>
      <c r="EZ10" s="1003"/>
      <c r="FA10" s="1003"/>
      <c r="FB10" s="1003"/>
      <c r="FC10" s="1003"/>
      <c r="FD10" s="1003"/>
      <c r="FE10" s="1003"/>
      <c r="FF10" s="1003"/>
      <c r="FG10" s="1003"/>
      <c r="FH10" s="1003"/>
      <c r="FI10" s="1003"/>
      <c r="FJ10" s="1003"/>
      <c r="FK10" s="1003"/>
      <c r="FL10" s="1003"/>
      <c r="FM10" s="1003"/>
      <c r="FN10" s="1003"/>
      <c r="FO10" s="1003"/>
      <c r="FP10" s="1003"/>
      <c r="FQ10" s="1003"/>
      <c r="FR10" s="1003"/>
      <c r="FS10" s="1003"/>
      <c r="FT10" s="1003"/>
      <c r="FU10" s="1003"/>
      <c r="FV10" s="1003"/>
      <c r="FW10" s="1003"/>
      <c r="FX10" s="1003"/>
      <c r="FY10" s="1003"/>
      <c r="FZ10" s="1003"/>
      <c r="GA10" s="1003"/>
      <c r="GB10" s="1003"/>
      <c r="GC10" s="1003"/>
      <c r="GD10" s="1003"/>
      <c r="GE10" s="1003"/>
      <c r="GF10" s="1003"/>
      <c r="GG10" s="1003"/>
      <c r="GH10" s="1003"/>
      <c r="GI10" s="1003"/>
      <c r="GJ10" s="1003"/>
      <c r="GK10" s="1003"/>
      <c r="GL10" s="1003"/>
      <c r="GM10" s="1003"/>
      <c r="GN10" s="1003"/>
      <c r="GO10" s="1003"/>
      <c r="GP10" s="1003"/>
      <c r="GQ10" s="1003"/>
      <c r="GR10" s="1003"/>
      <c r="GS10" s="1003"/>
      <c r="GT10" s="1003"/>
      <c r="GU10" s="1003"/>
      <c r="GV10" s="1003"/>
      <c r="GW10" s="1003"/>
      <c r="GX10" s="1003"/>
      <c r="GY10" s="1003"/>
      <c r="GZ10" s="1003"/>
      <c r="HA10" s="1003"/>
    </row>
    <row r="11" spans="1:209" s="1036" customFormat="1" ht="34.5" customHeight="1">
      <c r="A11" s="962">
        <v>1</v>
      </c>
      <c r="B11" s="968" t="s">
        <v>695</v>
      </c>
      <c r="C11" s="952" t="s">
        <v>696</v>
      </c>
      <c r="D11" s="950" t="s">
        <v>599</v>
      </c>
      <c r="E11" s="950">
        <v>1</v>
      </c>
      <c r="F11" s="960" t="s">
        <v>685</v>
      </c>
      <c r="G11" s="950">
        <v>6.71</v>
      </c>
      <c r="H11" s="958">
        <v>17697</v>
      </c>
      <c r="I11" s="955">
        <v>2</v>
      </c>
      <c r="J11" s="950"/>
      <c r="K11" s="958">
        <f t="shared" ref="K11:K19" si="10">H11*G11*E11*I11</f>
        <v>237493.74</v>
      </c>
      <c r="L11" s="950"/>
      <c r="M11" s="950"/>
      <c r="N11" s="950"/>
      <c r="O11" s="950"/>
      <c r="P11" s="950"/>
      <c r="Q11" s="962"/>
      <c r="R11" s="950"/>
      <c r="S11" s="950"/>
      <c r="T11" s="950"/>
      <c r="U11" s="950"/>
      <c r="V11" s="950"/>
      <c r="W11" s="950"/>
      <c r="X11" s="950"/>
      <c r="Y11" s="958">
        <v>80</v>
      </c>
      <c r="Z11" s="959">
        <f>Y11*350%</f>
        <v>280</v>
      </c>
      <c r="AA11" s="959">
        <f t="shared" ref="AA11:AA19" si="11">K11*Z11%</f>
        <v>664982.47199999995</v>
      </c>
      <c r="AB11" s="950"/>
      <c r="AC11" s="950"/>
      <c r="AD11" s="958">
        <f t="shared" ref="AD11:AD19" si="12">K11*0.1</f>
        <v>23749.374</v>
      </c>
      <c r="AE11" s="958">
        <f t="shared" ref="AE11:AE19" si="13">K11+N11+O11+Q11+S11+U11+W11+X11+AA11+AD11+AC11</f>
        <v>926225.58599999989</v>
      </c>
      <c r="AF11" s="958">
        <f t="shared" ref="AF11:AF19" si="14">AE11*12</f>
        <v>11114707.031999998</v>
      </c>
      <c r="AG11" s="958">
        <f t="shared" ref="AG11:AG19" si="15">K11</f>
        <v>237493.74</v>
      </c>
      <c r="AH11" s="958">
        <f t="shared" ref="AH11:AH19" si="16">AE11*12+AG11</f>
        <v>11352200.771999998</v>
      </c>
      <c r="AI11" s="1003"/>
      <c r="AJ11" s="1003"/>
      <c r="AK11" s="1014"/>
      <c r="AL11" s="1014"/>
      <c r="AM11" s="1003"/>
      <c r="AN11" s="1003"/>
      <c r="AO11" s="1003"/>
      <c r="AP11" s="1003"/>
      <c r="AQ11" s="1003"/>
      <c r="AR11" s="1003"/>
      <c r="AS11" s="1003"/>
      <c r="AT11" s="1003"/>
      <c r="AU11" s="1003"/>
      <c r="AV11" s="1003"/>
      <c r="AW11" s="1003"/>
      <c r="AX11" s="1003"/>
      <c r="AY11" s="1003"/>
      <c r="AZ11" s="1003"/>
      <c r="BA11" s="1003"/>
      <c r="BB11" s="1003"/>
      <c r="BC11" s="1003"/>
      <c r="BD11" s="1003"/>
      <c r="BE11" s="1003"/>
      <c r="BF11" s="1003"/>
      <c r="BG11" s="1003"/>
      <c r="BH11" s="1003"/>
      <c r="BI11" s="1003"/>
      <c r="BJ11" s="1003"/>
      <c r="BK11" s="1003"/>
      <c r="BL11" s="1003"/>
      <c r="BM11" s="1003"/>
      <c r="BN11" s="1003"/>
      <c r="BO11" s="1003"/>
      <c r="BP11" s="1003"/>
      <c r="BQ11" s="1003"/>
      <c r="BR11" s="1003"/>
      <c r="BS11" s="1003"/>
      <c r="BT11" s="1003"/>
      <c r="BU11" s="1003"/>
      <c r="BV11" s="1003"/>
      <c r="BW11" s="1003"/>
      <c r="BX11" s="1003"/>
      <c r="BY11" s="1003"/>
      <c r="BZ11" s="1003"/>
      <c r="CA11" s="1003"/>
      <c r="CB11" s="1003"/>
      <c r="CC11" s="1003"/>
      <c r="CD11" s="1003"/>
      <c r="CE11" s="1003"/>
      <c r="CF11" s="1003"/>
      <c r="CG11" s="1003"/>
      <c r="CH11" s="1003"/>
      <c r="CI11" s="1003"/>
      <c r="CJ11" s="1003"/>
      <c r="CK11" s="1003"/>
      <c r="CL11" s="1003"/>
      <c r="CM11" s="1003"/>
      <c r="CN11" s="1003"/>
      <c r="CO11" s="1003"/>
      <c r="CP11" s="1003"/>
      <c r="CQ11" s="1003"/>
      <c r="CR11" s="1003"/>
      <c r="CS11" s="1003"/>
      <c r="CT11" s="1003"/>
      <c r="CU11" s="1003"/>
      <c r="CV11" s="1003"/>
      <c r="CW11" s="1003"/>
      <c r="CX11" s="1003"/>
      <c r="CY11" s="1003"/>
      <c r="CZ11" s="1003"/>
      <c r="DA11" s="1003"/>
      <c r="DB11" s="1003"/>
      <c r="DC11" s="1003"/>
      <c r="DD11" s="1003"/>
      <c r="DE11" s="1003"/>
      <c r="DF11" s="1003"/>
      <c r="DG11" s="1003"/>
      <c r="DH11" s="1003"/>
      <c r="DI11" s="1003"/>
      <c r="DJ11" s="1003"/>
      <c r="DK11" s="1003"/>
      <c r="DL11" s="1003"/>
      <c r="DM11" s="1003"/>
      <c r="DN11" s="1003"/>
      <c r="DO11" s="1003"/>
      <c r="DP11" s="1003"/>
      <c r="DQ11" s="1003"/>
      <c r="DR11" s="1003"/>
      <c r="DS11" s="1003"/>
      <c r="DT11" s="1003"/>
      <c r="DU11" s="1003"/>
      <c r="DV11" s="1003"/>
      <c r="DW11" s="1003"/>
      <c r="DX11" s="1003"/>
      <c r="DY11" s="1003"/>
      <c r="DZ11" s="1003"/>
      <c r="EA11" s="1003"/>
      <c r="EB11" s="1003"/>
      <c r="EC11" s="1003"/>
      <c r="ED11" s="1003"/>
      <c r="EE11" s="1003"/>
      <c r="EF11" s="1003"/>
      <c r="EG11" s="1003"/>
      <c r="EH11" s="1003"/>
      <c r="EI11" s="1003"/>
      <c r="EJ11" s="1003"/>
      <c r="EK11" s="1003"/>
      <c r="EL11" s="1003"/>
      <c r="EM11" s="1003"/>
      <c r="EN11" s="1003"/>
      <c r="EO11" s="1003"/>
      <c r="EP11" s="1003"/>
      <c r="EQ11" s="1003"/>
      <c r="ER11" s="1003"/>
      <c r="ES11" s="1003"/>
      <c r="ET11" s="1003"/>
      <c r="EU11" s="1003"/>
      <c r="EV11" s="1003"/>
      <c r="EW11" s="1003"/>
      <c r="EX11" s="1003"/>
      <c r="EY11" s="1003"/>
      <c r="EZ11" s="1003"/>
      <c r="FA11" s="1003"/>
      <c r="FB11" s="1003"/>
      <c r="FC11" s="1003"/>
      <c r="FD11" s="1003"/>
      <c r="FE11" s="1003"/>
      <c r="FF11" s="1003"/>
      <c r="FG11" s="1003"/>
      <c r="FH11" s="1003"/>
      <c r="FI11" s="1003"/>
      <c r="FJ11" s="1003"/>
      <c r="FK11" s="1003"/>
      <c r="FL11" s="1003"/>
      <c r="FM11" s="1003"/>
      <c r="FN11" s="1003"/>
      <c r="FO11" s="1003"/>
      <c r="FP11" s="1003"/>
      <c r="FQ11" s="1003"/>
      <c r="FR11" s="1003"/>
      <c r="FS11" s="1003"/>
      <c r="FT11" s="1003"/>
      <c r="FU11" s="1003"/>
      <c r="FV11" s="1003"/>
      <c r="FW11" s="1003"/>
      <c r="FX11" s="1003"/>
      <c r="FY11" s="1003"/>
      <c r="FZ11" s="1003"/>
      <c r="GA11" s="1003"/>
      <c r="GB11" s="1003"/>
      <c r="GC11" s="1003"/>
      <c r="GD11" s="1003"/>
      <c r="GE11" s="1003"/>
      <c r="GF11" s="1003"/>
      <c r="GG11" s="1003"/>
      <c r="GH11" s="1003"/>
      <c r="GI11" s="1003"/>
      <c r="GJ11" s="1003"/>
      <c r="GK11" s="1003"/>
      <c r="GL11" s="1003"/>
      <c r="GM11" s="1003"/>
      <c r="GN11" s="1003"/>
      <c r="GO11" s="1003"/>
      <c r="GP11" s="1003"/>
      <c r="GQ11" s="1003"/>
      <c r="GR11" s="1003"/>
      <c r="GS11" s="1003"/>
      <c r="GT11" s="1003"/>
      <c r="GU11" s="1003"/>
      <c r="GV11" s="1003"/>
      <c r="GW11" s="1003"/>
      <c r="GX11" s="1003"/>
      <c r="GY11" s="1003"/>
      <c r="GZ11" s="1003"/>
      <c r="HA11" s="1003"/>
    </row>
    <row r="12" spans="1:209" s="1036" customFormat="1" ht="42.75" customHeight="1">
      <c r="A12" s="962">
        <v>2</v>
      </c>
      <c r="B12" s="969" t="s">
        <v>697</v>
      </c>
      <c r="C12" s="952" t="s">
        <v>698</v>
      </c>
      <c r="D12" s="950" t="s">
        <v>600</v>
      </c>
      <c r="E12" s="950">
        <v>1</v>
      </c>
      <c r="F12" s="960" t="s">
        <v>76</v>
      </c>
      <c r="G12" s="950">
        <v>6.55</v>
      </c>
      <c r="H12" s="958">
        <v>17697</v>
      </c>
      <c r="I12" s="955">
        <v>2</v>
      </c>
      <c r="J12" s="950"/>
      <c r="K12" s="958">
        <f t="shared" si="10"/>
        <v>231830.69999999998</v>
      </c>
      <c r="L12" s="950"/>
      <c r="M12" s="950"/>
      <c r="N12" s="950"/>
      <c r="O12" s="950"/>
      <c r="P12" s="950"/>
      <c r="Q12" s="962"/>
      <c r="R12" s="950"/>
      <c r="S12" s="950"/>
      <c r="T12" s="950"/>
      <c r="U12" s="950"/>
      <c r="V12" s="950"/>
      <c r="W12" s="950"/>
      <c r="X12" s="950"/>
      <c r="Y12" s="958">
        <v>80</v>
      </c>
      <c r="Z12" s="959">
        <f t="shared" ref="Z12:Z16" si="17">Y12*350%</f>
        <v>280</v>
      </c>
      <c r="AA12" s="959">
        <f t="shared" si="11"/>
        <v>649125.96</v>
      </c>
      <c r="AB12" s="950"/>
      <c r="AC12" s="950"/>
      <c r="AD12" s="958">
        <f t="shared" si="12"/>
        <v>23183.07</v>
      </c>
      <c r="AE12" s="958">
        <f t="shared" si="13"/>
        <v>904139.72999999986</v>
      </c>
      <c r="AF12" s="958">
        <f t="shared" si="14"/>
        <v>10849676.759999998</v>
      </c>
      <c r="AG12" s="958">
        <f t="shared" si="15"/>
        <v>231830.69999999998</v>
      </c>
      <c r="AH12" s="958">
        <f t="shared" si="16"/>
        <v>11081507.459999997</v>
      </c>
      <c r="AI12" s="1003">
        <v>10594662.989999996</v>
      </c>
      <c r="AJ12" s="1287">
        <f>AF12-AI12</f>
        <v>255013.77000000142</v>
      </c>
      <c r="AK12" s="1014"/>
      <c r="AL12" s="1014"/>
      <c r="AM12" s="1003"/>
      <c r="AN12" s="1003"/>
      <c r="AO12" s="1003"/>
      <c r="AP12" s="1003"/>
      <c r="AQ12" s="1003"/>
      <c r="AR12" s="1003"/>
      <c r="AS12" s="1003"/>
      <c r="AT12" s="1003"/>
      <c r="AU12" s="1003"/>
      <c r="AV12" s="1003"/>
      <c r="AW12" s="1003"/>
      <c r="AX12" s="1003"/>
      <c r="AY12" s="1003"/>
      <c r="AZ12" s="1003"/>
      <c r="BA12" s="1003"/>
      <c r="BB12" s="1003"/>
      <c r="BC12" s="1003"/>
      <c r="BD12" s="1003"/>
      <c r="BE12" s="1003"/>
      <c r="BF12" s="1003"/>
      <c r="BG12" s="1003"/>
      <c r="BH12" s="1003"/>
      <c r="BI12" s="1003"/>
      <c r="BJ12" s="1003"/>
      <c r="BK12" s="1003"/>
      <c r="BL12" s="1003"/>
      <c r="BM12" s="1003"/>
      <c r="BN12" s="1003"/>
      <c r="BO12" s="1003"/>
      <c r="BP12" s="1003"/>
      <c r="BQ12" s="1003"/>
      <c r="BR12" s="1003"/>
      <c r="BS12" s="1003"/>
      <c r="BT12" s="1003"/>
      <c r="BU12" s="1003"/>
      <c r="BV12" s="1003"/>
      <c r="BW12" s="1003"/>
      <c r="BX12" s="1003"/>
      <c r="BY12" s="1003"/>
      <c r="BZ12" s="1003"/>
      <c r="CA12" s="1003"/>
      <c r="CB12" s="1003"/>
      <c r="CC12" s="1003"/>
      <c r="CD12" s="1003"/>
      <c r="CE12" s="1003"/>
      <c r="CF12" s="1003"/>
      <c r="CG12" s="1003"/>
      <c r="CH12" s="1003"/>
      <c r="CI12" s="1003"/>
      <c r="CJ12" s="1003"/>
      <c r="CK12" s="1003"/>
      <c r="CL12" s="1003"/>
      <c r="CM12" s="1003"/>
      <c r="CN12" s="1003"/>
      <c r="CO12" s="1003"/>
      <c r="CP12" s="1003"/>
      <c r="CQ12" s="1003"/>
      <c r="CR12" s="1003"/>
      <c r="CS12" s="1003"/>
      <c r="CT12" s="1003"/>
      <c r="CU12" s="1003"/>
      <c r="CV12" s="1003"/>
      <c r="CW12" s="1003"/>
      <c r="CX12" s="1003"/>
      <c r="CY12" s="1003"/>
      <c r="CZ12" s="1003"/>
      <c r="DA12" s="1003"/>
      <c r="DB12" s="1003"/>
      <c r="DC12" s="1003"/>
      <c r="DD12" s="1003"/>
      <c r="DE12" s="1003"/>
      <c r="DF12" s="1003"/>
      <c r="DG12" s="1003"/>
      <c r="DH12" s="1003"/>
      <c r="DI12" s="1003"/>
      <c r="DJ12" s="1003"/>
      <c r="DK12" s="1003"/>
      <c r="DL12" s="1003"/>
      <c r="DM12" s="1003"/>
      <c r="DN12" s="1003"/>
      <c r="DO12" s="1003"/>
      <c r="DP12" s="1003"/>
      <c r="DQ12" s="1003"/>
      <c r="DR12" s="1003"/>
      <c r="DS12" s="1003"/>
      <c r="DT12" s="1003"/>
      <c r="DU12" s="1003"/>
      <c r="DV12" s="1003"/>
      <c r="DW12" s="1003"/>
      <c r="DX12" s="1003"/>
      <c r="DY12" s="1003"/>
      <c r="DZ12" s="1003"/>
      <c r="EA12" s="1003"/>
      <c r="EB12" s="1003"/>
      <c r="EC12" s="1003"/>
      <c r="ED12" s="1003"/>
      <c r="EE12" s="1003"/>
      <c r="EF12" s="1003"/>
      <c r="EG12" s="1003"/>
      <c r="EH12" s="1003"/>
      <c r="EI12" s="1003"/>
      <c r="EJ12" s="1003"/>
      <c r="EK12" s="1003"/>
      <c r="EL12" s="1003"/>
      <c r="EM12" s="1003"/>
      <c r="EN12" s="1003"/>
      <c r="EO12" s="1003"/>
      <c r="EP12" s="1003"/>
      <c r="EQ12" s="1003"/>
      <c r="ER12" s="1003"/>
      <c r="ES12" s="1003"/>
      <c r="ET12" s="1003"/>
      <c r="EU12" s="1003"/>
      <c r="EV12" s="1003"/>
      <c r="EW12" s="1003"/>
      <c r="EX12" s="1003"/>
      <c r="EY12" s="1003"/>
      <c r="EZ12" s="1003"/>
      <c r="FA12" s="1003"/>
      <c r="FB12" s="1003"/>
      <c r="FC12" s="1003"/>
      <c r="FD12" s="1003"/>
      <c r="FE12" s="1003"/>
      <c r="FF12" s="1003"/>
      <c r="FG12" s="1003"/>
      <c r="FH12" s="1003"/>
      <c r="FI12" s="1003"/>
      <c r="FJ12" s="1003"/>
      <c r="FK12" s="1003"/>
      <c r="FL12" s="1003"/>
      <c r="FM12" s="1003"/>
      <c r="FN12" s="1003"/>
      <c r="FO12" s="1003"/>
      <c r="FP12" s="1003"/>
      <c r="FQ12" s="1003"/>
      <c r="FR12" s="1003"/>
      <c r="FS12" s="1003"/>
      <c r="FT12" s="1003"/>
      <c r="FU12" s="1003"/>
      <c r="FV12" s="1003"/>
      <c r="FW12" s="1003"/>
      <c r="FX12" s="1003"/>
      <c r="FY12" s="1003"/>
      <c r="FZ12" s="1003"/>
      <c r="GA12" s="1003"/>
      <c r="GB12" s="1003"/>
      <c r="GC12" s="1003"/>
      <c r="GD12" s="1003"/>
      <c r="GE12" s="1003"/>
      <c r="GF12" s="1003"/>
      <c r="GG12" s="1003"/>
      <c r="GH12" s="1003"/>
      <c r="GI12" s="1003"/>
      <c r="GJ12" s="1003"/>
      <c r="GK12" s="1003"/>
      <c r="GL12" s="1003"/>
      <c r="GM12" s="1003"/>
      <c r="GN12" s="1003"/>
      <c r="GO12" s="1003"/>
      <c r="GP12" s="1003"/>
      <c r="GQ12" s="1003"/>
      <c r="GR12" s="1003"/>
      <c r="GS12" s="1003"/>
      <c r="GT12" s="1003"/>
      <c r="GU12" s="1003"/>
      <c r="GV12" s="1003"/>
      <c r="GW12" s="1003"/>
      <c r="GX12" s="1003"/>
      <c r="GY12" s="1003"/>
      <c r="GZ12" s="1003"/>
      <c r="HA12" s="1003"/>
    </row>
    <row r="13" spans="1:209" s="1003" customFormat="1" ht="27.75" customHeight="1">
      <c r="A13" s="962">
        <v>3</v>
      </c>
      <c r="B13" s="952" t="s">
        <v>699</v>
      </c>
      <c r="C13" s="970" t="s">
        <v>700</v>
      </c>
      <c r="D13" s="956" t="s">
        <v>73</v>
      </c>
      <c r="E13" s="959">
        <v>1</v>
      </c>
      <c r="F13" s="960" t="s">
        <v>685</v>
      </c>
      <c r="G13" s="956">
        <v>4.6100000000000003</v>
      </c>
      <c r="H13" s="958">
        <v>17697</v>
      </c>
      <c r="I13" s="955">
        <v>2</v>
      </c>
      <c r="J13" s="958"/>
      <c r="K13" s="958">
        <f t="shared" si="10"/>
        <v>163166.34000000003</v>
      </c>
      <c r="L13" s="958">
        <v>0</v>
      </c>
      <c r="M13" s="958"/>
      <c r="N13" s="958"/>
      <c r="O13" s="958"/>
      <c r="P13" s="958"/>
      <c r="Q13" s="958"/>
      <c r="R13" s="958"/>
      <c r="S13" s="958"/>
      <c r="T13" s="958"/>
      <c r="U13" s="958"/>
      <c r="V13" s="958"/>
      <c r="W13" s="958"/>
      <c r="X13" s="958"/>
      <c r="Y13" s="958">
        <v>80</v>
      </c>
      <c r="Z13" s="959">
        <f t="shared" si="17"/>
        <v>280</v>
      </c>
      <c r="AA13" s="959">
        <f t="shared" si="11"/>
        <v>456865.75200000004</v>
      </c>
      <c r="AB13" s="959"/>
      <c r="AC13" s="959"/>
      <c r="AD13" s="958">
        <f t="shared" si="12"/>
        <v>16316.634000000004</v>
      </c>
      <c r="AE13" s="958">
        <f t="shared" si="13"/>
        <v>636348.72600000002</v>
      </c>
      <c r="AF13" s="958">
        <f t="shared" si="14"/>
        <v>7636184.7120000003</v>
      </c>
      <c r="AG13" s="958">
        <f t="shared" si="15"/>
        <v>163166.34000000003</v>
      </c>
      <c r="AH13" s="958">
        <f t="shared" si="16"/>
        <v>7799351.0520000001</v>
      </c>
      <c r="AI13" s="1020">
        <v>7456701.7380000018</v>
      </c>
      <c r="AJ13" s="1287">
        <f t="shared" ref="AJ13:AJ16" si="18">AF13-AI13</f>
        <v>179482.97399999853</v>
      </c>
      <c r="AK13" s="1014"/>
      <c r="AL13" s="1014"/>
    </row>
    <row r="14" spans="1:209" s="1003" customFormat="1" ht="24" customHeight="1">
      <c r="A14" s="962">
        <v>4</v>
      </c>
      <c r="B14" s="952" t="s">
        <v>1171</v>
      </c>
      <c r="C14" s="970"/>
      <c r="D14" s="956" t="s">
        <v>73</v>
      </c>
      <c r="E14" s="959">
        <v>1</v>
      </c>
      <c r="F14" s="960" t="s">
        <v>76</v>
      </c>
      <c r="G14" s="956">
        <v>4.71</v>
      </c>
      <c r="H14" s="958">
        <v>17697</v>
      </c>
      <c r="I14" s="955">
        <v>2</v>
      </c>
      <c r="J14" s="958"/>
      <c r="K14" s="958">
        <f t="shared" si="10"/>
        <v>166705.74</v>
      </c>
      <c r="L14" s="958">
        <v>0</v>
      </c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>
        <v>80</v>
      </c>
      <c r="Z14" s="959">
        <f t="shared" si="17"/>
        <v>280</v>
      </c>
      <c r="AA14" s="959">
        <f t="shared" si="11"/>
        <v>466776.07199999993</v>
      </c>
      <c r="AB14" s="959"/>
      <c r="AC14" s="959"/>
      <c r="AD14" s="958">
        <f t="shared" si="12"/>
        <v>16670.574000000001</v>
      </c>
      <c r="AE14" s="958">
        <f t="shared" si="13"/>
        <v>650152.38599999994</v>
      </c>
      <c r="AF14" s="958">
        <f t="shared" si="14"/>
        <v>7801828.6319999993</v>
      </c>
      <c r="AG14" s="958">
        <f t="shared" si="15"/>
        <v>166705.74</v>
      </c>
      <c r="AH14" s="958">
        <f t="shared" si="16"/>
        <v>7968534.3719999995</v>
      </c>
      <c r="AI14" s="1020">
        <v>7618452.318</v>
      </c>
      <c r="AJ14" s="1287">
        <f t="shared" si="18"/>
        <v>183376.31399999931</v>
      </c>
      <c r="AK14" s="1014"/>
      <c r="AL14" s="1014"/>
    </row>
    <row r="15" spans="1:209" s="1003" customFormat="1" ht="24" customHeight="1">
      <c r="A15" s="962">
        <v>5</v>
      </c>
      <c r="B15" s="952" t="s">
        <v>79</v>
      </c>
      <c r="C15" s="952" t="s">
        <v>701</v>
      </c>
      <c r="D15" s="956" t="s">
        <v>73</v>
      </c>
      <c r="E15" s="959">
        <v>1</v>
      </c>
      <c r="F15" s="950" t="s">
        <v>88</v>
      </c>
      <c r="G15" s="956">
        <v>4.83</v>
      </c>
      <c r="H15" s="958">
        <v>17697</v>
      </c>
      <c r="I15" s="955">
        <v>2</v>
      </c>
      <c r="J15" s="958"/>
      <c r="K15" s="958">
        <f t="shared" si="10"/>
        <v>170953.02</v>
      </c>
      <c r="L15" s="958"/>
      <c r="M15" s="958"/>
      <c r="N15" s="958"/>
      <c r="O15" s="958"/>
      <c r="P15" s="958"/>
      <c r="Q15" s="958"/>
      <c r="R15" s="958"/>
      <c r="S15" s="958"/>
      <c r="T15" s="958"/>
      <c r="U15" s="958"/>
      <c r="V15" s="958"/>
      <c r="W15" s="958"/>
      <c r="X15" s="958"/>
      <c r="Y15" s="958">
        <v>80</v>
      </c>
      <c r="Z15" s="959">
        <f t="shared" si="17"/>
        <v>280</v>
      </c>
      <c r="AA15" s="959">
        <f t="shared" si="11"/>
        <v>478668.45599999995</v>
      </c>
      <c r="AB15" s="959"/>
      <c r="AC15" s="959"/>
      <c r="AD15" s="958">
        <f t="shared" si="12"/>
        <v>17095.302</v>
      </c>
      <c r="AE15" s="958">
        <f t="shared" si="13"/>
        <v>666716.77799999993</v>
      </c>
      <c r="AF15" s="958">
        <f t="shared" si="14"/>
        <v>8000601.3359999992</v>
      </c>
      <c r="AG15" s="958">
        <f t="shared" si="15"/>
        <v>170953.02</v>
      </c>
      <c r="AH15" s="958">
        <f t="shared" si="16"/>
        <v>8171554.3559999987</v>
      </c>
      <c r="AI15" s="1020">
        <v>7812553.0140000004</v>
      </c>
      <c r="AJ15" s="1287">
        <f t="shared" si="18"/>
        <v>188048.32199999876</v>
      </c>
      <c r="AK15" s="1014"/>
      <c r="AL15" s="1014"/>
    </row>
    <row r="16" spans="1:209" s="1003" customFormat="1" ht="24" customHeight="1">
      <c r="A16" s="962">
        <v>6</v>
      </c>
      <c r="B16" s="952" t="s">
        <v>1171</v>
      </c>
      <c r="C16" s="952" t="s">
        <v>702</v>
      </c>
      <c r="D16" s="956" t="s">
        <v>73</v>
      </c>
      <c r="E16" s="959">
        <v>1</v>
      </c>
      <c r="F16" s="960" t="s">
        <v>76</v>
      </c>
      <c r="G16" s="956">
        <v>4.71</v>
      </c>
      <c r="H16" s="958">
        <v>17697</v>
      </c>
      <c r="I16" s="955">
        <v>2</v>
      </c>
      <c r="J16" s="958"/>
      <c r="K16" s="958">
        <f t="shared" si="10"/>
        <v>166705.74</v>
      </c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>
        <v>80</v>
      </c>
      <c r="Z16" s="959">
        <f t="shared" si="17"/>
        <v>280</v>
      </c>
      <c r="AA16" s="959">
        <f t="shared" si="11"/>
        <v>466776.07199999993</v>
      </c>
      <c r="AB16" s="959"/>
      <c r="AC16" s="959"/>
      <c r="AD16" s="958">
        <f t="shared" si="12"/>
        <v>16670.574000000001</v>
      </c>
      <c r="AE16" s="958">
        <f t="shared" si="13"/>
        <v>650152.38599999994</v>
      </c>
      <c r="AF16" s="958">
        <f t="shared" si="14"/>
        <v>7801828.6319999993</v>
      </c>
      <c r="AG16" s="958">
        <f t="shared" si="15"/>
        <v>166705.74</v>
      </c>
      <c r="AH16" s="958">
        <f t="shared" si="16"/>
        <v>7968534.3719999995</v>
      </c>
      <c r="AI16" s="1020">
        <v>7618452.318</v>
      </c>
      <c r="AJ16" s="1287">
        <f t="shared" si="18"/>
        <v>183376.31399999931</v>
      </c>
      <c r="AK16" s="1014"/>
      <c r="AL16" s="1014"/>
    </row>
    <row r="17" spans="1:209" s="1003" customFormat="1" ht="21.75" customHeight="1">
      <c r="A17" s="962">
        <v>7</v>
      </c>
      <c r="B17" s="952" t="s">
        <v>703</v>
      </c>
      <c r="C17" s="971" t="s">
        <v>704</v>
      </c>
      <c r="D17" s="950" t="s">
        <v>82</v>
      </c>
      <c r="E17" s="959">
        <v>2</v>
      </c>
      <c r="F17" s="960" t="s">
        <v>705</v>
      </c>
      <c r="G17" s="956">
        <v>3.04</v>
      </c>
      <c r="H17" s="958">
        <v>17697</v>
      </c>
      <c r="I17" s="955">
        <v>2</v>
      </c>
      <c r="J17" s="958"/>
      <c r="K17" s="958">
        <f t="shared" si="10"/>
        <v>215195.51999999999</v>
      </c>
      <c r="L17" s="958">
        <v>0</v>
      </c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9">
        <f t="shared" si="11"/>
        <v>0</v>
      </c>
      <c r="AB17" s="959"/>
      <c r="AC17" s="959"/>
      <c r="AD17" s="958">
        <f t="shared" si="12"/>
        <v>21519.552</v>
      </c>
      <c r="AE17" s="958">
        <f t="shared" si="13"/>
        <v>236715.07199999999</v>
      </c>
      <c r="AF17" s="958">
        <f t="shared" si="14"/>
        <v>2840580.8640000001</v>
      </c>
      <c r="AG17" s="958">
        <f t="shared" si="15"/>
        <v>215195.51999999999</v>
      </c>
      <c r="AH17" s="958">
        <f t="shared" si="16"/>
        <v>3055776.3840000001</v>
      </c>
      <c r="AI17" s="1020"/>
      <c r="AJ17" s="1287"/>
      <c r="AK17" s="1014"/>
      <c r="AL17" s="1014"/>
    </row>
    <row r="18" spans="1:209" s="1003" customFormat="1" ht="25.5" customHeight="1">
      <c r="A18" s="962">
        <v>8</v>
      </c>
      <c r="B18" s="952" t="s">
        <v>703</v>
      </c>
      <c r="C18" s="971" t="s">
        <v>706</v>
      </c>
      <c r="D18" s="950" t="s">
        <v>82</v>
      </c>
      <c r="E18" s="959">
        <v>1</v>
      </c>
      <c r="F18" s="960" t="s">
        <v>1172</v>
      </c>
      <c r="G18" s="956">
        <v>2.94</v>
      </c>
      <c r="H18" s="958">
        <v>17697</v>
      </c>
      <c r="I18" s="955">
        <v>2</v>
      </c>
      <c r="J18" s="958"/>
      <c r="K18" s="958">
        <f t="shared" si="10"/>
        <v>104058.36</v>
      </c>
      <c r="L18" s="958">
        <v>0</v>
      </c>
      <c r="M18" s="958"/>
      <c r="N18" s="958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9">
        <f t="shared" si="11"/>
        <v>0</v>
      </c>
      <c r="AB18" s="959"/>
      <c r="AC18" s="959"/>
      <c r="AD18" s="958">
        <f t="shared" si="12"/>
        <v>10405.836000000001</v>
      </c>
      <c r="AE18" s="958">
        <f t="shared" si="13"/>
        <v>114464.196</v>
      </c>
      <c r="AF18" s="958">
        <f t="shared" si="14"/>
        <v>1373570.352</v>
      </c>
      <c r="AG18" s="958">
        <f t="shared" si="15"/>
        <v>104058.36</v>
      </c>
      <c r="AH18" s="958">
        <f t="shared" si="16"/>
        <v>1477628.7120000001</v>
      </c>
      <c r="AI18" s="1020"/>
      <c r="AJ18" s="1020"/>
      <c r="AK18" s="1014"/>
      <c r="AL18" s="1014"/>
    </row>
    <row r="19" spans="1:209" s="1003" customFormat="1" ht="19.5" customHeight="1">
      <c r="A19" s="962">
        <v>9</v>
      </c>
      <c r="B19" s="952" t="s">
        <v>81</v>
      </c>
      <c r="C19" s="972" t="s">
        <v>714</v>
      </c>
      <c r="D19" s="950" t="s">
        <v>82</v>
      </c>
      <c r="E19" s="959">
        <v>2</v>
      </c>
      <c r="F19" s="950" t="s">
        <v>88</v>
      </c>
      <c r="G19" s="956">
        <v>3.29</v>
      </c>
      <c r="H19" s="958">
        <v>17697</v>
      </c>
      <c r="I19" s="955">
        <v>2</v>
      </c>
      <c r="J19" s="958"/>
      <c r="K19" s="958">
        <f t="shared" si="10"/>
        <v>232892.52</v>
      </c>
      <c r="L19" s="958">
        <v>0</v>
      </c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58"/>
      <c r="AA19" s="959">
        <f t="shared" si="11"/>
        <v>0</v>
      </c>
      <c r="AB19" s="959"/>
      <c r="AC19" s="959"/>
      <c r="AD19" s="958">
        <f t="shared" si="12"/>
        <v>23289.252</v>
      </c>
      <c r="AE19" s="958">
        <f t="shared" si="13"/>
        <v>256181.772</v>
      </c>
      <c r="AF19" s="958">
        <f t="shared" si="14"/>
        <v>3074181.264</v>
      </c>
      <c r="AG19" s="958">
        <f t="shared" si="15"/>
        <v>232892.52</v>
      </c>
      <c r="AH19" s="958">
        <f t="shared" si="16"/>
        <v>3307073.784</v>
      </c>
      <c r="AI19" s="1020"/>
      <c r="AJ19" s="1020"/>
      <c r="AK19" s="1014"/>
      <c r="AL19" s="1014"/>
    </row>
    <row r="20" spans="1:209" s="1015" customFormat="1" ht="30.75" customHeight="1">
      <c r="A20" s="950"/>
      <c r="B20" s="964" t="s">
        <v>627</v>
      </c>
      <c r="C20" s="952"/>
      <c r="D20" s="956"/>
      <c r="E20" s="961">
        <f>SUM(E11:E19)</f>
        <v>11</v>
      </c>
      <c r="F20" s="960"/>
      <c r="G20" s="956"/>
      <c r="H20" s="958"/>
      <c r="I20" s="955"/>
      <c r="J20" s="958"/>
      <c r="K20" s="961">
        <f>SUM(K11:K19)</f>
        <v>1689001.6800000002</v>
      </c>
      <c r="L20" s="961">
        <f>SUM(L11:L17)</f>
        <v>0</v>
      </c>
      <c r="M20" s="961">
        <f>SUM(M11:M17)</f>
        <v>0</v>
      </c>
      <c r="N20" s="961">
        <f>SUM(N11:N17)</f>
        <v>0</v>
      </c>
      <c r="O20" s="961">
        <f>SUM(O11:O17)</f>
        <v>0</v>
      </c>
      <c r="P20" s="961"/>
      <c r="Q20" s="961">
        <f>SUM(Q11:Q17)</f>
        <v>0</v>
      </c>
      <c r="R20" s="961"/>
      <c r="S20" s="961">
        <f>SUM(S11:S17)</f>
        <v>0</v>
      </c>
      <c r="T20" s="961"/>
      <c r="U20" s="961">
        <f>SUM(U11:U17)</f>
        <v>0</v>
      </c>
      <c r="V20" s="961"/>
      <c r="W20" s="961">
        <f>SUM(W11:W17)</f>
        <v>0</v>
      </c>
      <c r="X20" s="961">
        <f>SUM(X11:X17)</f>
        <v>0</v>
      </c>
      <c r="Y20" s="961"/>
      <c r="Z20" s="961"/>
      <c r="AA20" s="961">
        <f>SUM(AA11:AA19)</f>
        <v>3183194.784</v>
      </c>
      <c r="AB20" s="961"/>
      <c r="AC20" s="961">
        <f>SUM(AC11:AC17)</f>
        <v>0</v>
      </c>
      <c r="AD20" s="961">
        <f>SUM(AD11:AD19)</f>
        <v>168900.16800000001</v>
      </c>
      <c r="AE20" s="961">
        <f>SUM(AE11:AE19)</f>
        <v>5041096.6319999993</v>
      </c>
      <c r="AF20" s="961">
        <f>SUM(AF11:AF19)</f>
        <v>60493159.583999984</v>
      </c>
      <c r="AG20" s="961">
        <f>SUM(AG11:AG19)</f>
        <v>1689001.6800000002</v>
      </c>
      <c r="AH20" s="961">
        <f>SUM(AH11:AH19)</f>
        <v>62182161.263999999</v>
      </c>
      <c r="AI20" s="1020"/>
      <c r="AJ20" s="1020"/>
      <c r="AK20" s="1021"/>
      <c r="AL20" s="1021"/>
      <c r="AM20" s="1013"/>
      <c r="AN20" s="1013"/>
      <c r="AO20" s="1013"/>
      <c r="AP20" s="1013"/>
      <c r="AQ20" s="1013"/>
      <c r="AR20" s="1013"/>
      <c r="AS20" s="1013"/>
      <c r="AT20" s="1013"/>
      <c r="AU20" s="1013"/>
      <c r="AV20" s="1013"/>
      <c r="AW20" s="1013"/>
      <c r="AX20" s="1013"/>
      <c r="AY20" s="1013"/>
      <c r="AZ20" s="1013"/>
      <c r="BA20" s="1013"/>
      <c r="BB20" s="1013"/>
      <c r="BC20" s="1013"/>
      <c r="BD20" s="1013"/>
      <c r="BE20" s="1013"/>
      <c r="BF20" s="1013"/>
      <c r="BG20" s="1013"/>
      <c r="BH20" s="1013"/>
      <c r="BI20" s="1013"/>
      <c r="BJ20" s="1013"/>
      <c r="BK20" s="1013"/>
      <c r="BL20" s="1013"/>
      <c r="BM20" s="1013"/>
      <c r="BN20" s="1013"/>
      <c r="BO20" s="1013"/>
      <c r="BP20" s="1013"/>
      <c r="BQ20" s="1013"/>
      <c r="BR20" s="1013"/>
      <c r="BS20" s="1013"/>
      <c r="BT20" s="1013"/>
      <c r="BU20" s="1013"/>
      <c r="BV20" s="1013"/>
      <c r="BW20" s="1013"/>
      <c r="BX20" s="1013"/>
      <c r="BY20" s="1013"/>
      <c r="BZ20" s="1013"/>
      <c r="CA20" s="1013"/>
      <c r="CB20" s="1013"/>
      <c r="CC20" s="1013"/>
      <c r="CD20" s="1013"/>
      <c r="CE20" s="1013"/>
      <c r="CF20" s="1013"/>
      <c r="CG20" s="1013"/>
      <c r="CH20" s="1013"/>
      <c r="CI20" s="1013"/>
      <c r="CJ20" s="1013"/>
      <c r="CK20" s="1013"/>
      <c r="CL20" s="1013"/>
      <c r="CM20" s="1013"/>
      <c r="CN20" s="1013"/>
      <c r="CO20" s="1013"/>
      <c r="CP20" s="1013"/>
      <c r="CQ20" s="1013"/>
      <c r="CR20" s="1013"/>
      <c r="CS20" s="1013"/>
      <c r="CT20" s="1013"/>
      <c r="CU20" s="1013"/>
      <c r="CV20" s="1013"/>
      <c r="CW20" s="1013"/>
      <c r="CX20" s="1013"/>
      <c r="CY20" s="1013"/>
      <c r="CZ20" s="1013"/>
      <c r="DA20" s="1013"/>
      <c r="DB20" s="1013"/>
      <c r="DC20" s="1013"/>
      <c r="DD20" s="1013"/>
      <c r="DE20" s="1013"/>
      <c r="DF20" s="1013"/>
      <c r="DG20" s="1013"/>
      <c r="DH20" s="1013"/>
      <c r="DI20" s="1013"/>
      <c r="DJ20" s="1013"/>
      <c r="DK20" s="1013"/>
      <c r="DL20" s="1013"/>
      <c r="DM20" s="1013"/>
      <c r="DN20" s="1013"/>
      <c r="DO20" s="1013"/>
      <c r="DP20" s="1013"/>
      <c r="DQ20" s="1013"/>
      <c r="DR20" s="1013"/>
      <c r="DS20" s="1013"/>
      <c r="DT20" s="1013"/>
      <c r="DU20" s="1013"/>
      <c r="DV20" s="1013"/>
      <c r="DW20" s="1013"/>
      <c r="DX20" s="1013"/>
      <c r="DY20" s="1013"/>
      <c r="DZ20" s="1013"/>
      <c r="EA20" s="1013"/>
      <c r="EB20" s="1013"/>
      <c r="EC20" s="1013"/>
      <c r="ED20" s="1013"/>
      <c r="EE20" s="1013"/>
      <c r="EF20" s="1013"/>
      <c r="EG20" s="1013"/>
      <c r="EH20" s="1013"/>
      <c r="EI20" s="1013"/>
      <c r="EJ20" s="1013"/>
      <c r="EK20" s="1013"/>
      <c r="EL20" s="1013"/>
      <c r="EM20" s="1013"/>
      <c r="EN20" s="1013"/>
      <c r="EO20" s="1013"/>
      <c r="EP20" s="1013"/>
      <c r="EQ20" s="1013"/>
      <c r="ER20" s="1013"/>
      <c r="ES20" s="1013"/>
      <c r="ET20" s="1013"/>
      <c r="EU20" s="1013"/>
      <c r="EV20" s="1013"/>
      <c r="EW20" s="1013"/>
      <c r="EX20" s="1013"/>
      <c r="EY20" s="1013"/>
      <c r="EZ20" s="1013"/>
      <c r="FA20" s="1013"/>
      <c r="FB20" s="1013"/>
      <c r="FC20" s="1013"/>
      <c r="FD20" s="1013"/>
      <c r="FE20" s="1013"/>
      <c r="FF20" s="1013"/>
      <c r="FG20" s="1013"/>
      <c r="FH20" s="1013"/>
      <c r="FI20" s="1013"/>
      <c r="FJ20" s="1013"/>
      <c r="FK20" s="1013"/>
      <c r="FL20" s="1013"/>
      <c r="FM20" s="1013"/>
      <c r="FN20" s="1013"/>
      <c r="FO20" s="1013"/>
      <c r="FP20" s="1013"/>
      <c r="FQ20" s="1013"/>
      <c r="FR20" s="1013"/>
      <c r="FS20" s="1013"/>
      <c r="FT20" s="1013"/>
      <c r="FU20" s="1013"/>
      <c r="FV20" s="1013"/>
      <c r="FW20" s="1013"/>
      <c r="FX20" s="1013"/>
      <c r="FY20" s="1013"/>
      <c r="FZ20" s="1013"/>
      <c r="GA20" s="1013"/>
      <c r="GB20" s="1013"/>
      <c r="GC20" s="1013"/>
      <c r="GD20" s="1013"/>
      <c r="GE20" s="1013"/>
      <c r="GF20" s="1013"/>
      <c r="GG20" s="1013"/>
      <c r="GH20" s="1013"/>
      <c r="GI20" s="1013"/>
      <c r="GJ20" s="1013"/>
      <c r="GK20" s="1013"/>
      <c r="GL20" s="1013"/>
      <c r="GM20" s="1013"/>
      <c r="GN20" s="1013"/>
      <c r="GO20" s="1013"/>
      <c r="GP20" s="1013"/>
      <c r="GQ20" s="1013"/>
      <c r="GR20" s="1013"/>
      <c r="GS20" s="1013"/>
      <c r="GT20" s="1013"/>
      <c r="GU20" s="1013"/>
      <c r="GV20" s="1013"/>
      <c r="GW20" s="1013"/>
      <c r="GX20" s="1013"/>
      <c r="GY20" s="1013"/>
      <c r="GZ20" s="1013"/>
      <c r="HA20" s="1013"/>
    </row>
    <row r="21" spans="1:209" s="1003" customFormat="1" ht="25.5" customHeight="1">
      <c r="A21" s="950"/>
      <c r="B21" s="952"/>
      <c r="C21" s="964"/>
      <c r="D21" s="963"/>
      <c r="E21" s="950"/>
      <c r="F21" s="963"/>
      <c r="G21" s="963"/>
      <c r="H21" s="963"/>
      <c r="I21" s="963"/>
      <c r="J21" s="963"/>
      <c r="K21" s="963"/>
      <c r="L21" s="963"/>
      <c r="M21" s="963"/>
      <c r="N21" s="963"/>
      <c r="O21" s="963"/>
      <c r="P21" s="963"/>
      <c r="Q21" s="966" t="s">
        <v>866</v>
      </c>
      <c r="R21" s="963"/>
      <c r="S21" s="963"/>
      <c r="T21" s="963"/>
      <c r="U21" s="963"/>
      <c r="V21" s="963"/>
      <c r="W21" s="963"/>
      <c r="X21" s="963"/>
      <c r="Y21" s="963"/>
      <c r="Z21" s="963"/>
      <c r="AA21" s="963"/>
      <c r="AB21" s="963"/>
      <c r="AC21" s="963"/>
      <c r="AD21" s="963"/>
      <c r="AE21" s="963"/>
      <c r="AF21" s="963"/>
      <c r="AG21" s="963"/>
      <c r="AH21" s="963"/>
      <c r="AI21" s="1013"/>
      <c r="AJ21" s="1013"/>
      <c r="AK21" s="1021"/>
      <c r="AL21" s="1021"/>
      <c r="AM21" s="1013"/>
      <c r="AN21" s="1013"/>
      <c r="AO21" s="1013"/>
      <c r="AP21" s="1013"/>
      <c r="AQ21" s="1013"/>
      <c r="AR21" s="1013"/>
      <c r="AS21" s="1013"/>
      <c r="AT21" s="1013"/>
      <c r="AU21" s="1013"/>
      <c r="AV21" s="1013"/>
      <c r="AW21" s="1013"/>
      <c r="AX21" s="1013"/>
      <c r="AY21" s="1013"/>
      <c r="AZ21" s="1013"/>
      <c r="BA21" s="1013"/>
      <c r="BB21" s="1013"/>
      <c r="BC21" s="1013"/>
      <c r="BD21" s="1013"/>
      <c r="BE21" s="1013"/>
      <c r="BF21" s="1013"/>
      <c r="BG21" s="1013"/>
      <c r="BH21" s="1013"/>
      <c r="BI21" s="1013"/>
      <c r="BJ21" s="1013"/>
      <c r="BK21" s="1013"/>
      <c r="BL21" s="1013"/>
      <c r="BM21" s="1013"/>
      <c r="BN21" s="1013"/>
      <c r="BO21" s="1013"/>
      <c r="BP21" s="1013"/>
      <c r="BQ21" s="1013"/>
      <c r="BR21" s="1013"/>
      <c r="BS21" s="1013"/>
      <c r="BT21" s="1013"/>
      <c r="BU21" s="1013"/>
      <c r="BV21" s="1013"/>
      <c r="BW21" s="1013"/>
      <c r="BX21" s="1013"/>
      <c r="BY21" s="1013"/>
      <c r="BZ21" s="1013"/>
      <c r="CA21" s="1013"/>
      <c r="CB21" s="1013"/>
      <c r="CC21" s="1013"/>
      <c r="CD21" s="1013"/>
      <c r="CE21" s="1013"/>
      <c r="CF21" s="1013"/>
      <c r="CG21" s="1013"/>
      <c r="CH21" s="1013"/>
      <c r="CI21" s="1013"/>
      <c r="CJ21" s="1013"/>
      <c r="CK21" s="1013"/>
      <c r="CL21" s="1013"/>
      <c r="CM21" s="1013"/>
      <c r="CN21" s="1013"/>
      <c r="CO21" s="1013"/>
      <c r="CP21" s="1013"/>
      <c r="CQ21" s="1013"/>
      <c r="CR21" s="1013"/>
      <c r="CS21" s="1013"/>
      <c r="CT21" s="1013"/>
      <c r="CU21" s="1013"/>
      <c r="CV21" s="1013"/>
      <c r="CW21" s="1013"/>
      <c r="CX21" s="1013"/>
      <c r="CY21" s="1013"/>
      <c r="CZ21" s="1013"/>
      <c r="DA21" s="1013"/>
      <c r="DB21" s="1013"/>
      <c r="DC21" s="1013"/>
      <c r="DD21" s="1013"/>
      <c r="DE21" s="1013"/>
      <c r="DF21" s="1013"/>
      <c r="DG21" s="1013"/>
      <c r="DH21" s="1013"/>
      <c r="DI21" s="1013"/>
      <c r="DJ21" s="1013"/>
      <c r="DK21" s="1013"/>
      <c r="DL21" s="1013"/>
      <c r="DM21" s="1013"/>
      <c r="DN21" s="1013"/>
      <c r="DO21" s="1013"/>
      <c r="DP21" s="1013"/>
      <c r="DQ21" s="1013"/>
      <c r="DR21" s="1013"/>
      <c r="DS21" s="1013"/>
      <c r="DT21" s="1013"/>
      <c r="DU21" s="1013"/>
      <c r="DV21" s="1013"/>
      <c r="DW21" s="1013"/>
      <c r="DX21" s="1013"/>
      <c r="DY21" s="1013"/>
      <c r="DZ21" s="1013"/>
      <c r="EA21" s="1013"/>
      <c r="EB21" s="1013"/>
      <c r="EC21" s="1013"/>
      <c r="ED21" s="1013"/>
      <c r="EE21" s="1013"/>
      <c r="EF21" s="1013"/>
      <c r="EG21" s="1013"/>
      <c r="EH21" s="1013"/>
      <c r="EI21" s="1013"/>
      <c r="EJ21" s="1013"/>
      <c r="EK21" s="1013"/>
      <c r="EL21" s="1013"/>
      <c r="EM21" s="1013"/>
      <c r="EN21" s="1013"/>
      <c r="EO21" s="1013"/>
      <c r="EP21" s="1013"/>
      <c r="EQ21" s="1013"/>
      <c r="ER21" s="1013"/>
      <c r="ES21" s="1013"/>
      <c r="ET21" s="1013"/>
      <c r="EU21" s="1013"/>
      <c r="EV21" s="1013"/>
      <c r="EW21" s="1013"/>
      <c r="EX21" s="1013"/>
      <c r="EY21" s="1013"/>
      <c r="EZ21" s="1013"/>
      <c r="FA21" s="1013"/>
      <c r="FB21" s="1013"/>
      <c r="FC21" s="1013"/>
      <c r="FD21" s="1013"/>
      <c r="FE21" s="1013"/>
      <c r="FF21" s="1013"/>
      <c r="FG21" s="1013"/>
      <c r="FH21" s="1013"/>
      <c r="FI21" s="1013"/>
      <c r="FJ21" s="1013"/>
      <c r="FK21" s="1013"/>
      <c r="FL21" s="1013"/>
      <c r="FM21" s="1013"/>
      <c r="FN21" s="1013"/>
      <c r="FO21" s="1013"/>
      <c r="FP21" s="1013"/>
      <c r="FQ21" s="1013"/>
      <c r="FR21" s="1013"/>
      <c r="FS21" s="1013"/>
      <c r="FT21" s="1013"/>
      <c r="FU21" s="1013"/>
      <c r="FV21" s="1013"/>
      <c r="FW21" s="1013"/>
      <c r="FX21" s="1013"/>
      <c r="FY21" s="1013"/>
      <c r="FZ21" s="1013"/>
      <c r="GA21" s="1013"/>
      <c r="GB21" s="1013"/>
      <c r="GC21" s="1013"/>
      <c r="GD21" s="1013"/>
      <c r="GE21" s="1013"/>
      <c r="GF21" s="1013"/>
      <c r="GG21" s="1013"/>
      <c r="GH21" s="1013"/>
      <c r="GI21" s="1013"/>
      <c r="GJ21" s="1013"/>
      <c r="GK21" s="1013"/>
      <c r="GL21" s="1013"/>
      <c r="GM21" s="1013"/>
      <c r="GN21" s="1013"/>
      <c r="GO21" s="1013"/>
      <c r="GP21" s="1013"/>
      <c r="GQ21" s="1013"/>
      <c r="GR21" s="1013"/>
      <c r="GS21" s="1013"/>
      <c r="GT21" s="1013"/>
      <c r="GU21" s="1013"/>
      <c r="GV21" s="1013"/>
      <c r="GW21" s="1013"/>
      <c r="GX21" s="1013"/>
      <c r="GY21" s="1013"/>
      <c r="GZ21" s="1013"/>
      <c r="HA21" s="1013"/>
    </row>
    <row r="22" spans="1:209" s="1003" customFormat="1" ht="42" customHeight="1">
      <c r="A22" s="950">
        <v>1</v>
      </c>
      <c r="B22" s="952" t="s">
        <v>708</v>
      </c>
      <c r="C22" s="952" t="s">
        <v>709</v>
      </c>
      <c r="D22" s="950" t="s">
        <v>153</v>
      </c>
      <c r="E22" s="950">
        <v>1</v>
      </c>
      <c r="F22" s="960" t="s">
        <v>740</v>
      </c>
      <c r="G22" s="956">
        <v>5.34</v>
      </c>
      <c r="H22" s="958">
        <v>17697</v>
      </c>
      <c r="I22" s="955">
        <v>2</v>
      </c>
      <c r="J22" s="963"/>
      <c r="K22" s="958">
        <f t="shared" ref="K22" si="19">H22*G22*E22*I22</f>
        <v>189003.96</v>
      </c>
      <c r="L22" s="963"/>
      <c r="M22" s="963"/>
      <c r="N22" s="963"/>
      <c r="O22" s="963"/>
      <c r="P22" s="963"/>
      <c r="Q22" s="966"/>
      <c r="R22" s="963"/>
      <c r="S22" s="963"/>
      <c r="T22" s="963"/>
      <c r="U22" s="963"/>
      <c r="V22" s="963"/>
      <c r="W22" s="963"/>
      <c r="X22" s="963"/>
      <c r="Y22" s="958">
        <v>80</v>
      </c>
      <c r="Z22" s="959">
        <f>Y22*350%</f>
        <v>280</v>
      </c>
      <c r="AA22" s="959">
        <f t="shared" ref="AA22:AA23" si="20">K22*Z22%</f>
        <v>529211.08799999999</v>
      </c>
      <c r="AB22" s="963"/>
      <c r="AC22" s="963"/>
      <c r="AD22" s="958">
        <f t="shared" ref="AD22:AD23" si="21">K22*0.1</f>
        <v>18900.396000000001</v>
      </c>
      <c r="AE22" s="958">
        <f t="shared" ref="AE22:AE23" si="22">K22+N22+O22+Q22+S22+U22+W22+X22+AA22+AD22+AC22</f>
        <v>737115.4439999999</v>
      </c>
      <c r="AF22" s="958">
        <f t="shared" ref="AF22:AF23" si="23">AE22*12</f>
        <v>8845385.3279999979</v>
      </c>
      <c r="AG22" s="958">
        <f t="shared" ref="AG22:AG23" si="24">K22</f>
        <v>189003.96</v>
      </c>
      <c r="AH22" s="958">
        <f t="shared" ref="AH22:AH23" si="25">AE22*12+AG22</f>
        <v>9034389.2879999988</v>
      </c>
      <c r="AI22" s="1013"/>
      <c r="AJ22" s="1013"/>
      <c r="AK22" s="1021"/>
      <c r="AL22" s="1021"/>
      <c r="AM22" s="1013"/>
      <c r="AN22" s="1013"/>
      <c r="AO22" s="1013"/>
      <c r="AP22" s="1013"/>
      <c r="AQ22" s="1013"/>
      <c r="AR22" s="1013"/>
      <c r="AS22" s="1013"/>
      <c r="AT22" s="1013"/>
      <c r="AU22" s="1013"/>
      <c r="AV22" s="1013"/>
      <c r="AW22" s="1013"/>
      <c r="AX22" s="1013"/>
      <c r="AY22" s="1013"/>
      <c r="AZ22" s="1013"/>
      <c r="BA22" s="1013"/>
      <c r="BB22" s="1013"/>
      <c r="BC22" s="1013"/>
      <c r="BD22" s="1013"/>
      <c r="BE22" s="1013"/>
      <c r="BF22" s="1013"/>
      <c r="BG22" s="1013"/>
      <c r="BH22" s="1013"/>
      <c r="BI22" s="1013"/>
      <c r="BJ22" s="1013"/>
      <c r="BK22" s="1013"/>
      <c r="BL22" s="1013"/>
      <c r="BM22" s="1013"/>
      <c r="BN22" s="1013"/>
      <c r="BO22" s="1013"/>
      <c r="BP22" s="1013"/>
      <c r="BQ22" s="1013"/>
      <c r="BR22" s="1013"/>
      <c r="BS22" s="1013"/>
      <c r="BT22" s="1013"/>
      <c r="BU22" s="1013"/>
      <c r="BV22" s="1013"/>
      <c r="BW22" s="1013"/>
      <c r="BX22" s="1013"/>
      <c r="BY22" s="1013"/>
      <c r="BZ22" s="1013"/>
      <c r="CA22" s="1013"/>
      <c r="CB22" s="1013"/>
      <c r="CC22" s="1013"/>
      <c r="CD22" s="1013"/>
      <c r="CE22" s="1013"/>
      <c r="CF22" s="1013"/>
      <c r="CG22" s="1013"/>
      <c r="CH22" s="1013"/>
      <c r="CI22" s="1013"/>
      <c r="CJ22" s="1013"/>
      <c r="CK22" s="1013"/>
      <c r="CL22" s="1013"/>
      <c r="CM22" s="1013"/>
      <c r="CN22" s="1013"/>
      <c r="CO22" s="1013"/>
      <c r="CP22" s="1013"/>
      <c r="CQ22" s="1013"/>
      <c r="CR22" s="1013"/>
      <c r="CS22" s="1013"/>
      <c r="CT22" s="1013"/>
      <c r="CU22" s="1013"/>
      <c r="CV22" s="1013"/>
      <c r="CW22" s="1013"/>
      <c r="CX22" s="1013"/>
      <c r="CY22" s="1013"/>
      <c r="CZ22" s="1013"/>
      <c r="DA22" s="1013"/>
      <c r="DB22" s="1013"/>
      <c r="DC22" s="1013"/>
      <c r="DD22" s="1013"/>
      <c r="DE22" s="1013"/>
      <c r="DF22" s="1013"/>
      <c r="DG22" s="1013"/>
      <c r="DH22" s="1013"/>
      <c r="DI22" s="1013"/>
      <c r="DJ22" s="1013"/>
      <c r="DK22" s="1013"/>
      <c r="DL22" s="1013"/>
      <c r="DM22" s="1013"/>
      <c r="DN22" s="1013"/>
      <c r="DO22" s="1013"/>
      <c r="DP22" s="1013"/>
      <c r="DQ22" s="1013"/>
      <c r="DR22" s="1013"/>
      <c r="DS22" s="1013"/>
      <c r="DT22" s="1013"/>
      <c r="DU22" s="1013"/>
      <c r="DV22" s="1013"/>
      <c r="DW22" s="1013"/>
      <c r="DX22" s="1013"/>
      <c r="DY22" s="1013"/>
      <c r="DZ22" s="1013"/>
      <c r="EA22" s="1013"/>
      <c r="EB22" s="1013"/>
      <c r="EC22" s="1013"/>
      <c r="ED22" s="1013"/>
      <c r="EE22" s="1013"/>
      <c r="EF22" s="1013"/>
      <c r="EG22" s="1013"/>
      <c r="EH22" s="1013"/>
      <c r="EI22" s="1013"/>
      <c r="EJ22" s="1013"/>
      <c r="EK22" s="1013"/>
      <c r="EL22" s="1013"/>
      <c r="EM22" s="1013"/>
      <c r="EN22" s="1013"/>
      <c r="EO22" s="1013"/>
      <c r="EP22" s="1013"/>
      <c r="EQ22" s="1013"/>
      <c r="ER22" s="1013"/>
      <c r="ES22" s="1013"/>
      <c r="ET22" s="1013"/>
      <c r="EU22" s="1013"/>
      <c r="EV22" s="1013"/>
      <c r="EW22" s="1013"/>
      <c r="EX22" s="1013"/>
      <c r="EY22" s="1013"/>
      <c r="EZ22" s="1013"/>
      <c r="FA22" s="1013"/>
      <c r="FB22" s="1013"/>
      <c r="FC22" s="1013"/>
      <c r="FD22" s="1013"/>
      <c r="FE22" s="1013"/>
      <c r="FF22" s="1013"/>
      <c r="FG22" s="1013"/>
      <c r="FH22" s="1013"/>
      <c r="FI22" s="1013"/>
      <c r="FJ22" s="1013"/>
      <c r="FK22" s="1013"/>
      <c r="FL22" s="1013"/>
      <c r="FM22" s="1013"/>
      <c r="FN22" s="1013"/>
      <c r="FO22" s="1013"/>
      <c r="FP22" s="1013"/>
      <c r="FQ22" s="1013"/>
      <c r="FR22" s="1013"/>
      <c r="FS22" s="1013"/>
      <c r="FT22" s="1013"/>
      <c r="FU22" s="1013"/>
      <c r="FV22" s="1013"/>
      <c r="FW22" s="1013"/>
      <c r="FX22" s="1013"/>
      <c r="FY22" s="1013"/>
      <c r="FZ22" s="1013"/>
      <c r="GA22" s="1013"/>
      <c r="GB22" s="1013"/>
      <c r="GC22" s="1013"/>
      <c r="GD22" s="1013"/>
      <c r="GE22" s="1013"/>
      <c r="GF22" s="1013"/>
      <c r="GG22" s="1013"/>
      <c r="GH22" s="1013"/>
      <c r="GI22" s="1013"/>
      <c r="GJ22" s="1013"/>
      <c r="GK22" s="1013"/>
      <c r="GL22" s="1013"/>
      <c r="GM22" s="1013"/>
      <c r="GN22" s="1013"/>
      <c r="GO22" s="1013"/>
      <c r="GP22" s="1013"/>
      <c r="GQ22" s="1013"/>
      <c r="GR22" s="1013"/>
      <c r="GS22" s="1013"/>
      <c r="GT22" s="1013"/>
      <c r="GU22" s="1013"/>
      <c r="GV22" s="1013"/>
      <c r="GW22" s="1013"/>
      <c r="GX22" s="1013"/>
      <c r="GY22" s="1013"/>
      <c r="GZ22" s="1013"/>
      <c r="HA22" s="1013"/>
    </row>
    <row r="23" spans="1:209" s="1003" customFormat="1" ht="34.5" customHeight="1">
      <c r="A23" s="950">
        <v>2</v>
      </c>
      <c r="B23" s="952" t="s">
        <v>710</v>
      </c>
      <c r="C23" s="952" t="s">
        <v>711</v>
      </c>
      <c r="D23" s="956" t="s">
        <v>73</v>
      </c>
      <c r="E23" s="959">
        <v>2</v>
      </c>
      <c r="F23" s="958" t="s">
        <v>74</v>
      </c>
      <c r="G23" s="956">
        <v>4.43</v>
      </c>
      <c r="H23" s="958">
        <v>17697</v>
      </c>
      <c r="I23" s="955">
        <v>2</v>
      </c>
      <c r="J23" s="958"/>
      <c r="K23" s="958">
        <f>H23*G23*E23*I23</f>
        <v>313590.83999999997</v>
      </c>
      <c r="L23" s="958">
        <v>0</v>
      </c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>
        <v>80</v>
      </c>
      <c r="Z23" s="959">
        <f t="shared" ref="Z23" si="26">Y23*350%</f>
        <v>280</v>
      </c>
      <c r="AA23" s="959">
        <f t="shared" si="20"/>
        <v>878054.35199999984</v>
      </c>
      <c r="AB23" s="959"/>
      <c r="AC23" s="959"/>
      <c r="AD23" s="958">
        <f t="shared" si="21"/>
        <v>31359.083999999999</v>
      </c>
      <c r="AE23" s="958">
        <f t="shared" si="22"/>
        <v>1223004.2759999998</v>
      </c>
      <c r="AF23" s="958">
        <f t="shared" si="23"/>
        <v>14676051.311999999</v>
      </c>
      <c r="AG23" s="958">
        <f t="shared" si="24"/>
        <v>313590.83999999997</v>
      </c>
      <c r="AH23" s="958">
        <f t="shared" si="25"/>
        <v>14989642.151999999</v>
      </c>
      <c r="AI23" s="1020">
        <v>14331101.388</v>
      </c>
      <c r="AJ23" s="1287">
        <f>AF23-AI23</f>
        <v>344949.92399999872</v>
      </c>
      <c r="AK23" s="1021"/>
      <c r="AL23" s="1021"/>
      <c r="AM23" s="1013"/>
      <c r="AN23" s="1013"/>
      <c r="AO23" s="1013"/>
      <c r="AP23" s="1013"/>
      <c r="AQ23" s="1013"/>
      <c r="AR23" s="1013"/>
      <c r="AS23" s="1013"/>
      <c r="AT23" s="1013"/>
      <c r="AU23" s="1013"/>
      <c r="AV23" s="1013"/>
      <c r="AW23" s="1013"/>
      <c r="AX23" s="1013"/>
      <c r="AY23" s="1013"/>
      <c r="AZ23" s="1013"/>
      <c r="BA23" s="1013"/>
      <c r="BB23" s="1013"/>
      <c r="BC23" s="1013"/>
      <c r="BD23" s="1013"/>
      <c r="BE23" s="1013"/>
      <c r="BF23" s="1013"/>
      <c r="BG23" s="1013"/>
      <c r="BH23" s="1013"/>
      <c r="BI23" s="1013"/>
      <c r="BJ23" s="1013"/>
      <c r="BK23" s="1013"/>
      <c r="BL23" s="1013"/>
      <c r="BM23" s="1013"/>
      <c r="BN23" s="1013"/>
      <c r="BO23" s="1013"/>
      <c r="BP23" s="1013"/>
      <c r="BQ23" s="1013"/>
      <c r="BR23" s="1013"/>
      <c r="BS23" s="1013"/>
      <c r="BT23" s="1013"/>
      <c r="BU23" s="1013"/>
      <c r="BV23" s="1013"/>
      <c r="BW23" s="1013"/>
      <c r="BX23" s="1013"/>
      <c r="BY23" s="1013"/>
      <c r="BZ23" s="1013"/>
      <c r="CA23" s="1013"/>
      <c r="CB23" s="1013"/>
      <c r="CC23" s="1013"/>
      <c r="CD23" s="1013"/>
      <c r="CE23" s="1013"/>
      <c r="CF23" s="1013"/>
      <c r="CG23" s="1013"/>
      <c r="CH23" s="1013"/>
      <c r="CI23" s="1013"/>
      <c r="CJ23" s="1013"/>
      <c r="CK23" s="1013"/>
      <c r="CL23" s="1013"/>
      <c r="CM23" s="1013"/>
      <c r="CN23" s="1013"/>
      <c r="CO23" s="1013"/>
      <c r="CP23" s="1013"/>
      <c r="CQ23" s="1013"/>
      <c r="CR23" s="1013"/>
      <c r="CS23" s="1013"/>
      <c r="CT23" s="1013"/>
      <c r="CU23" s="1013"/>
      <c r="CV23" s="1013"/>
      <c r="CW23" s="1013"/>
      <c r="CX23" s="1013"/>
      <c r="CY23" s="1013"/>
      <c r="CZ23" s="1013"/>
      <c r="DA23" s="1013"/>
      <c r="DB23" s="1013"/>
      <c r="DC23" s="1013"/>
      <c r="DD23" s="1013"/>
      <c r="DE23" s="1013"/>
      <c r="DF23" s="1013"/>
      <c r="DG23" s="1013"/>
      <c r="DH23" s="1013"/>
      <c r="DI23" s="1013"/>
      <c r="DJ23" s="1013"/>
      <c r="DK23" s="1013"/>
      <c r="DL23" s="1013"/>
      <c r="DM23" s="1013"/>
      <c r="DN23" s="1013"/>
      <c r="DO23" s="1013"/>
      <c r="DP23" s="1013"/>
      <c r="DQ23" s="1013"/>
      <c r="DR23" s="1013"/>
      <c r="DS23" s="1013"/>
      <c r="DT23" s="1013"/>
      <c r="DU23" s="1013"/>
      <c r="DV23" s="1013"/>
      <c r="DW23" s="1013"/>
      <c r="DX23" s="1013"/>
      <c r="DY23" s="1013"/>
      <c r="DZ23" s="1013"/>
      <c r="EA23" s="1013"/>
      <c r="EB23" s="1013"/>
      <c r="EC23" s="1013"/>
      <c r="ED23" s="1013"/>
      <c r="EE23" s="1013"/>
      <c r="EF23" s="1013"/>
      <c r="EG23" s="1013"/>
      <c r="EH23" s="1013"/>
      <c r="EI23" s="1013"/>
      <c r="EJ23" s="1013"/>
      <c r="EK23" s="1013"/>
      <c r="EL23" s="1013"/>
      <c r="EM23" s="1013"/>
      <c r="EN23" s="1013"/>
      <c r="EO23" s="1013"/>
      <c r="EP23" s="1013"/>
      <c r="EQ23" s="1013"/>
      <c r="ER23" s="1013"/>
      <c r="ES23" s="1013"/>
      <c r="ET23" s="1013"/>
      <c r="EU23" s="1013"/>
      <c r="EV23" s="1013"/>
      <c r="EW23" s="1013"/>
      <c r="EX23" s="1013"/>
      <c r="EY23" s="1013"/>
      <c r="EZ23" s="1013"/>
      <c r="FA23" s="1013"/>
      <c r="FB23" s="1013"/>
      <c r="FC23" s="1013"/>
      <c r="FD23" s="1013"/>
      <c r="FE23" s="1013"/>
      <c r="FF23" s="1013"/>
      <c r="FG23" s="1013"/>
      <c r="FH23" s="1013"/>
      <c r="FI23" s="1013"/>
      <c r="FJ23" s="1013"/>
      <c r="FK23" s="1013"/>
      <c r="FL23" s="1013"/>
      <c r="FM23" s="1013"/>
      <c r="FN23" s="1013"/>
      <c r="FO23" s="1013"/>
      <c r="FP23" s="1013"/>
      <c r="FQ23" s="1013"/>
      <c r="FR23" s="1013"/>
      <c r="FS23" s="1013"/>
      <c r="FT23" s="1013"/>
      <c r="FU23" s="1013"/>
      <c r="FV23" s="1013"/>
      <c r="FW23" s="1013"/>
      <c r="FX23" s="1013"/>
      <c r="FY23" s="1013"/>
      <c r="FZ23" s="1013"/>
      <c r="GA23" s="1013"/>
      <c r="GB23" s="1013"/>
      <c r="GC23" s="1013"/>
      <c r="GD23" s="1013"/>
      <c r="GE23" s="1013"/>
      <c r="GF23" s="1013"/>
      <c r="GG23" s="1013"/>
      <c r="GH23" s="1013"/>
      <c r="GI23" s="1013"/>
      <c r="GJ23" s="1013"/>
      <c r="GK23" s="1013"/>
      <c r="GL23" s="1013"/>
      <c r="GM23" s="1013"/>
      <c r="GN23" s="1013"/>
      <c r="GO23" s="1013"/>
      <c r="GP23" s="1013"/>
      <c r="GQ23" s="1013"/>
      <c r="GR23" s="1013"/>
      <c r="GS23" s="1013"/>
      <c r="GT23" s="1013"/>
      <c r="GU23" s="1013"/>
      <c r="GV23" s="1013"/>
      <c r="GW23" s="1013"/>
      <c r="GX23" s="1013"/>
      <c r="GY23" s="1013"/>
      <c r="GZ23" s="1013"/>
      <c r="HA23" s="1013"/>
    </row>
    <row r="24" spans="1:209" s="1015" customFormat="1" ht="28.5" customHeight="1">
      <c r="A24" s="950"/>
      <c r="B24" s="964" t="s">
        <v>627</v>
      </c>
      <c r="C24" s="952"/>
      <c r="D24" s="956"/>
      <c r="E24" s="961">
        <f>SUM(E22:E23)</f>
        <v>3</v>
      </c>
      <c r="F24" s="960"/>
      <c r="G24" s="956"/>
      <c r="H24" s="958"/>
      <c r="I24" s="955"/>
      <c r="J24" s="958"/>
      <c r="K24" s="961">
        <f>SUM(K22:K23)</f>
        <v>502594.79999999993</v>
      </c>
      <c r="L24" s="961">
        <f>SUM(L22:L23)</f>
        <v>0</v>
      </c>
      <c r="M24" s="961">
        <f>SUM(M22:M23)</f>
        <v>0</v>
      </c>
      <c r="N24" s="961">
        <f>SUM(N22:N23)</f>
        <v>0</v>
      </c>
      <c r="O24" s="961">
        <f>SUM(O22:O23)</f>
        <v>0</v>
      </c>
      <c r="P24" s="961"/>
      <c r="Q24" s="961">
        <f>SUM(Q22:Q23)</f>
        <v>0</v>
      </c>
      <c r="R24" s="961"/>
      <c r="S24" s="961">
        <f>SUM(S22:S23)</f>
        <v>0</v>
      </c>
      <c r="T24" s="961"/>
      <c r="U24" s="961">
        <f>SUM(U22:U23)</f>
        <v>0</v>
      </c>
      <c r="V24" s="961"/>
      <c r="W24" s="961">
        <f>SUM(W22:W23)</f>
        <v>0</v>
      </c>
      <c r="X24" s="961">
        <f>SUM(X22:X23)</f>
        <v>0</v>
      </c>
      <c r="Y24" s="961"/>
      <c r="Z24" s="961"/>
      <c r="AA24" s="961">
        <f t="shared" ref="AA24:AH24" si="27">SUM(AA22:AA23)</f>
        <v>1407265.44</v>
      </c>
      <c r="AB24" s="961">
        <f t="shared" si="27"/>
        <v>0</v>
      </c>
      <c r="AC24" s="961">
        <f t="shared" si="27"/>
        <v>0</v>
      </c>
      <c r="AD24" s="961">
        <f t="shared" si="27"/>
        <v>50259.479999999996</v>
      </c>
      <c r="AE24" s="961">
        <f t="shared" si="27"/>
        <v>1960119.7199999997</v>
      </c>
      <c r="AF24" s="961">
        <f t="shared" si="27"/>
        <v>23521436.639999997</v>
      </c>
      <c r="AG24" s="961">
        <f t="shared" si="27"/>
        <v>502594.79999999993</v>
      </c>
      <c r="AH24" s="961">
        <f t="shared" si="27"/>
        <v>24024031.439999998</v>
      </c>
      <c r="AI24" s="1020"/>
      <c r="AJ24" s="1020"/>
      <c r="AK24" s="1021"/>
      <c r="AL24" s="1021"/>
      <c r="AM24" s="1013"/>
      <c r="AN24" s="1013"/>
      <c r="AO24" s="1013"/>
      <c r="AP24" s="1013"/>
      <c r="AQ24" s="1013"/>
      <c r="AR24" s="1013"/>
      <c r="AS24" s="1013"/>
      <c r="AT24" s="1013"/>
      <c r="AU24" s="1013"/>
      <c r="AV24" s="1013"/>
      <c r="AW24" s="1013"/>
      <c r="AX24" s="1013"/>
      <c r="AY24" s="1013"/>
      <c r="AZ24" s="1013"/>
      <c r="BA24" s="1013"/>
      <c r="BB24" s="1013"/>
      <c r="BC24" s="1013"/>
      <c r="BD24" s="1013"/>
      <c r="BE24" s="1013"/>
      <c r="BF24" s="1013"/>
      <c r="BG24" s="1013"/>
      <c r="BH24" s="1013"/>
      <c r="BI24" s="1013"/>
      <c r="BJ24" s="1013"/>
      <c r="BK24" s="1013"/>
      <c r="BL24" s="1013"/>
      <c r="BM24" s="1013"/>
      <c r="BN24" s="1013"/>
      <c r="BO24" s="1013"/>
      <c r="BP24" s="1013"/>
      <c r="BQ24" s="1013"/>
      <c r="BR24" s="1013"/>
      <c r="BS24" s="1013"/>
      <c r="BT24" s="1013"/>
      <c r="BU24" s="1013"/>
      <c r="BV24" s="1013"/>
      <c r="BW24" s="1013"/>
      <c r="BX24" s="1013"/>
      <c r="BY24" s="1013"/>
      <c r="BZ24" s="1013"/>
      <c r="CA24" s="1013"/>
      <c r="CB24" s="1013"/>
      <c r="CC24" s="1013"/>
      <c r="CD24" s="1013"/>
      <c r="CE24" s="1013"/>
      <c r="CF24" s="1013"/>
      <c r="CG24" s="1013"/>
      <c r="CH24" s="1013"/>
      <c r="CI24" s="1013"/>
      <c r="CJ24" s="1013"/>
      <c r="CK24" s="1013"/>
      <c r="CL24" s="1013"/>
      <c r="CM24" s="1013"/>
      <c r="CN24" s="1013"/>
      <c r="CO24" s="1013"/>
      <c r="CP24" s="1013"/>
      <c r="CQ24" s="1013"/>
      <c r="CR24" s="1013"/>
      <c r="CS24" s="1013"/>
      <c r="CT24" s="1013"/>
      <c r="CU24" s="1013"/>
      <c r="CV24" s="1013"/>
      <c r="CW24" s="1013"/>
      <c r="CX24" s="1013"/>
      <c r="CY24" s="1013"/>
      <c r="CZ24" s="1013"/>
      <c r="DA24" s="1013"/>
      <c r="DB24" s="1013"/>
      <c r="DC24" s="1013"/>
      <c r="DD24" s="1013"/>
      <c r="DE24" s="1013"/>
      <c r="DF24" s="1013"/>
      <c r="DG24" s="1013"/>
      <c r="DH24" s="1013"/>
      <c r="DI24" s="1013"/>
      <c r="DJ24" s="1013"/>
      <c r="DK24" s="1013"/>
      <c r="DL24" s="1013"/>
      <c r="DM24" s="1013"/>
      <c r="DN24" s="1013"/>
      <c r="DO24" s="1013"/>
      <c r="DP24" s="1013"/>
      <c r="DQ24" s="1013"/>
      <c r="DR24" s="1013"/>
      <c r="DS24" s="1013"/>
      <c r="DT24" s="1013"/>
      <c r="DU24" s="1013"/>
      <c r="DV24" s="1013"/>
      <c r="DW24" s="1013"/>
      <c r="DX24" s="1013"/>
      <c r="DY24" s="1013"/>
      <c r="DZ24" s="1013"/>
      <c r="EA24" s="1013"/>
      <c r="EB24" s="1013"/>
      <c r="EC24" s="1013"/>
      <c r="ED24" s="1013"/>
      <c r="EE24" s="1013"/>
      <c r="EF24" s="1013"/>
      <c r="EG24" s="1013"/>
      <c r="EH24" s="1013"/>
      <c r="EI24" s="1013"/>
      <c r="EJ24" s="1013"/>
      <c r="EK24" s="1013"/>
      <c r="EL24" s="1013"/>
      <c r="EM24" s="1013"/>
      <c r="EN24" s="1013"/>
      <c r="EO24" s="1013"/>
      <c r="EP24" s="1013"/>
      <c r="EQ24" s="1013"/>
      <c r="ER24" s="1013"/>
      <c r="ES24" s="1013"/>
      <c r="ET24" s="1013"/>
      <c r="EU24" s="1013"/>
      <c r="EV24" s="1013"/>
      <c r="EW24" s="1013"/>
      <c r="EX24" s="1013"/>
      <c r="EY24" s="1013"/>
      <c r="EZ24" s="1013"/>
      <c r="FA24" s="1013"/>
      <c r="FB24" s="1013"/>
      <c r="FC24" s="1013"/>
      <c r="FD24" s="1013"/>
      <c r="FE24" s="1013"/>
      <c r="FF24" s="1013"/>
      <c r="FG24" s="1013"/>
      <c r="FH24" s="1013"/>
      <c r="FI24" s="1013"/>
      <c r="FJ24" s="1013"/>
      <c r="FK24" s="1013"/>
      <c r="FL24" s="1013"/>
      <c r="FM24" s="1013"/>
      <c r="FN24" s="1013"/>
      <c r="FO24" s="1013"/>
      <c r="FP24" s="1013"/>
      <c r="FQ24" s="1013"/>
      <c r="FR24" s="1013"/>
      <c r="FS24" s="1013"/>
      <c r="FT24" s="1013"/>
      <c r="FU24" s="1013"/>
      <c r="FV24" s="1013"/>
      <c r="FW24" s="1013"/>
      <c r="FX24" s="1013"/>
      <c r="FY24" s="1013"/>
      <c r="FZ24" s="1013"/>
      <c r="GA24" s="1013"/>
      <c r="GB24" s="1013"/>
      <c r="GC24" s="1013"/>
      <c r="GD24" s="1013"/>
      <c r="GE24" s="1013"/>
      <c r="GF24" s="1013"/>
      <c r="GG24" s="1013"/>
      <c r="GH24" s="1013"/>
      <c r="GI24" s="1013"/>
      <c r="GJ24" s="1013"/>
      <c r="GK24" s="1013"/>
      <c r="GL24" s="1013"/>
      <c r="GM24" s="1013"/>
      <c r="GN24" s="1013"/>
      <c r="GO24" s="1013"/>
      <c r="GP24" s="1013"/>
      <c r="GQ24" s="1013"/>
      <c r="GR24" s="1013"/>
      <c r="GS24" s="1013"/>
      <c r="GT24" s="1013"/>
      <c r="GU24" s="1013"/>
      <c r="GV24" s="1013"/>
      <c r="GW24" s="1013"/>
      <c r="GX24" s="1013"/>
      <c r="GY24" s="1013"/>
      <c r="GZ24" s="1013"/>
      <c r="HA24" s="1013"/>
    </row>
    <row r="25" spans="1:209" s="1003" customFormat="1" ht="27.75" customHeight="1">
      <c r="A25" s="950"/>
      <c r="B25" s="952"/>
      <c r="C25" s="952"/>
      <c r="D25" s="963"/>
      <c r="E25" s="950"/>
      <c r="F25" s="963"/>
      <c r="G25" s="963"/>
      <c r="H25" s="950"/>
      <c r="I25" s="950"/>
      <c r="J25" s="963"/>
      <c r="K25" s="963"/>
      <c r="L25" s="963"/>
      <c r="M25" s="963"/>
      <c r="N25" s="963"/>
      <c r="O25" s="963"/>
      <c r="P25" s="963"/>
      <c r="Q25" s="966" t="s">
        <v>1173</v>
      </c>
      <c r="R25" s="963"/>
      <c r="S25" s="963"/>
      <c r="T25" s="963"/>
      <c r="U25" s="963"/>
      <c r="V25" s="963"/>
      <c r="W25" s="963"/>
      <c r="X25" s="963"/>
      <c r="Y25" s="963"/>
      <c r="Z25" s="963"/>
      <c r="AA25" s="963"/>
      <c r="AB25" s="963"/>
      <c r="AC25" s="963"/>
      <c r="AD25" s="963"/>
      <c r="AE25" s="963"/>
      <c r="AF25" s="963"/>
      <c r="AG25" s="963"/>
      <c r="AH25" s="963"/>
      <c r="AI25" s="1013"/>
      <c r="AJ25" s="1013"/>
      <c r="AK25" s="1021"/>
      <c r="AL25" s="1021"/>
      <c r="AM25" s="1013"/>
      <c r="AN25" s="1013"/>
      <c r="AO25" s="1013"/>
      <c r="AP25" s="1013"/>
      <c r="AQ25" s="1013"/>
      <c r="AR25" s="1013"/>
      <c r="AS25" s="1013"/>
      <c r="AT25" s="1013"/>
      <c r="AU25" s="1013"/>
      <c r="AV25" s="1013"/>
      <c r="AW25" s="1013"/>
      <c r="AX25" s="1013"/>
      <c r="AY25" s="1013"/>
      <c r="AZ25" s="1013"/>
      <c r="BA25" s="1013"/>
      <c r="BB25" s="1013"/>
      <c r="BC25" s="1013"/>
      <c r="BD25" s="1013"/>
      <c r="BE25" s="1013"/>
      <c r="BF25" s="1013"/>
      <c r="BG25" s="1013"/>
      <c r="BH25" s="1013"/>
      <c r="BI25" s="1013"/>
      <c r="BJ25" s="1013"/>
      <c r="BK25" s="1013"/>
      <c r="BL25" s="1013"/>
      <c r="BM25" s="1013"/>
      <c r="BN25" s="1013"/>
      <c r="BO25" s="1013"/>
      <c r="BP25" s="1013"/>
      <c r="BQ25" s="1013"/>
      <c r="BR25" s="1013"/>
      <c r="BS25" s="1013"/>
      <c r="BT25" s="1013"/>
      <c r="BU25" s="1013"/>
      <c r="BV25" s="1013"/>
      <c r="BW25" s="1013"/>
      <c r="BX25" s="1013"/>
      <c r="BY25" s="1013"/>
      <c r="BZ25" s="1013"/>
      <c r="CA25" s="1013"/>
      <c r="CB25" s="1013"/>
      <c r="CC25" s="1013"/>
      <c r="CD25" s="1013"/>
      <c r="CE25" s="1013"/>
      <c r="CF25" s="1013"/>
      <c r="CG25" s="1013"/>
      <c r="CH25" s="1013"/>
      <c r="CI25" s="1013"/>
      <c r="CJ25" s="1013"/>
      <c r="CK25" s="1013"/>
      <c r="CL25" s="1013"/>
      <c r="CM25" s="1013"/>
      <c r="CN25" s="1013"/>
      <c r="CO25" s="1013"/>
      <c r="CP25" s="1013"/>
      <c r="CQ25" s="1013"/>
      <c r="CR25" s="1013"/>
      <c r="CS25" s="1013"/>
      <c r="CT25" s="1013"/>
      <c r="CU25" s="1013"/>
      <c r="CV25" s="1013"/>
      <c r="CW25" s="1013"/>
      <c r="CX25" s="1013"/>
      <c r="CY25" s="1013"/>
      <c r="CZ25" s="1013"/>
      <c r="DA25" s="1013"/>
      <c r="DB25" s="1013"/>
      <c r="DC25" s="1013"/>
      <c r="DD25" s="1013"/>
      <c r="DE25" s="1013"/>
      <c r="DF25" s="1013"/>
      <c r="DG25" s="1013"/>
      <c r="DH25" s="1013"/>
      <c r="DI25" s="1013"/>
      <c r="DJ25" s="1013"/>
      <c r="DK25" s="1013"/>
      <c r="DL25" s="1013"/>
      <c r="DM25" s="1013"/>
      <c r="DN25" s="1013"/>
      <c r="DO25" s="1013"/>
      <c r="DP25" s="1013"/>
      <c r="DQ25" s="1013"/>
      <c r="DR25" s="1013"/>
      <c r="DS25" s="1013"/>
      <c r="DT25" s="1013"/>
      <c r="DU25" s="1013"/>
      <c r="DV25" s="1013"/>
      <c r="DW25" s="1013"/>
      <c r="DX25" s="1013"/>
      <c r="DY25" s="1013"/>
      <c r="DZ25" s="1013"/>
      <c r="EA25" s="1013"/>
      <c r="EB25" s="1013"/>
      <c r="EC25" s="1013"/>
      <c r="ED25" s="1013"/>
      <c r="EE25" s="1013"/>
      <c r="EF25" s="1013"/>
      <c r="EG25" s="1013"/>
      <c r="EH25" s="1013"/>
      <c r="EI25" s="1013"/>
      <c r="EJ25" s="1013"/>
      <c r="EK25" s="1013"/>
      <c r="EL25" s="1013"/>
      <c r="EM25" s="1013"/>
      <c r="EN25" s="1013"/>
      <c r="EO25" s="1013"/>
      <c r="EP25" s="1013"/>
      <c r="EQ25" s="1013"/>
      <c r="ER25" s="1013"/>
      <c r="ES25" s="1013"/>
      <c r="ET25" s="1013"/>
      <c r="EU25" s="1013"/>
      <c r="EV25" s="1013"/>
      <c r="EW25" s="1013"/>
      <c r="EX25" s="1013"/>
      <c r="EY25" s="1013"/>
      <c r="EZ25" s="1013"/>
      <c r="FA25" s="1013"/>
      <c r="FB25" s="1013"/>
      <c r="FC25" s="1013"/>
      <c r="FD25" s="1013"/>
      <c r="FE25" s="1013"/>
      <c r="FF25" s="1013"/>
      <c r="FG25" s="1013"/>
      <c r="FH25" s="1013"/>
      <c r="FI25" s="1013"/>
      <c r="FJ25" s="1013"/>
      <c r="FK25" s="1013"/>
      <c r="FL25" s="1013"/>
      <c r="FM25" s="1013"/>
      <c r="FN25" s="1013"/>
      <c r="FO25" s="1013"/>
      <c r="FP25" s="1013"/>
      <c r="FQ25" s="1013"/>
      <c r="FR25" s="1013"/>
      <c r="FS25" s="1013"/>
      <c r="FT25" s="1013"/>
      <c r="FU25" s="1013"/>
      <c r="FV25" s="1013"/>
      <c r="FW25" s="1013"/>
      <c r="FX25" s="1013"/>
      <c r="FY25" s="1013"/>
      <c r="FZ25" s="1013"/>
      <c r="GA25" s="1013"/>
      <c r="GB25" s="1013"/>
      <c r="GC25" s="1013"/>
      <c r="GD25" s="1013"/>
      <c r="GE25" s="1013"/>
      <c r="GF25" s="1013"/>
      <c r="GG25" s="1013"/>
      <c r="GH25" s="1013"/>
      <c r="GI25" s="1013"/>
      <c r="GJ25" s="1013"/>
      <c r="GK25" s="1013"/>
      <c r="GL25" s="1013"/>
      <c r="GM25" s="1013"/>
      <c r="GN25" s="1013"/>
      <c r="GO25" s="1013"/>
      <c r="GP25" s="1013"/>
      <c r="GQ25" s="1013"/>
      <c r="GR25" s="1013"/>
      <c r="GS25" s="1013"/>
      <c r="GT25" s="1013"/>
      <c r="GU25" s="1013"/>
      <c r="GV25" s="1013"/>
      <c r="GW25" s="1013"/>
      <c r="GX25" s="1013"/>
      <c r="GY25" s="1013"/>
      <c r="GZ25" s="1013"/>
      <c r="HA25" s="1013"/>
    </row>
    <row r="26" spans="1:209" s="1003" customFormat="1" ht="58.5" customHeight="1">
      <c r="A26" s="950">
        <v>1</v>
      </c>
      <c r="B26" s="952" t="s">
        <v>1174</v>
      </c>
      <c r="C26" s="971" t="s">
        <v>712</v>
      </c>
      <c r="D26" s="950" t="s">
        <v>153</v>
      </c>
      <c r="E26" s="950">
        <v>1</v>
      </c>
      <c r="F26" s="960" t="s">
        <v>690</v>
      </c>
      <c r="G26" s="956">
        <v>5.49</v>
      </c>
      <c r="H26" s="958">
        <v>17697</v>
      </c>
      <c r="I26" s="955">
        <v>2</v>
      </c>
      <c r="J26" s="955">
        <v>1.71</v>
      </c>
      <c r="K26" s="958">
        <f>H26*G26*E26*I26</f>
        <v>194313.06</v>
      </c>
      <c r="L26" s="963"/>
      <c r="M26" s="963"/>
      <c r="N26" s="963"/>
      <c r="O26" s="963"/>
      <c r="P26" s="963"/>
      <c r="Q26" s="966"/>
      <c r="R26" s="963"/>
      <c r="S26" s="963"/>
      <c r="T26" s="963"/>
      <c r="U26" s="963"/>
      <c r="V26" s="963"/>
      <c r="W26" s="963"/>
      <c r="X26" s="963"/>
      <c r="Y26" s="958">
        <v>80</v>
      </c>
      <c r="Z26" s="959">
        <f>Y26*350%</f>
        <v>280</v>
      </c>
      <c r="AA26" s="959">
        <f t="shared" ref="AA26:AA28" si="28">K26*Z26%</f>
        <v>544076.56799999997</v>
      </c>
      <c r="AB26" s="963"/>
      <c r="AC26" s="963"/>
      <c r="AD26" s="958">
        <f t="shared" ref="AD26:AD28" si="29">K26*0.1</f>
        <v>19431.306</v>
      </c>
      <c r="AE26" s="958">
        <f t="shared" ref="AE26:AE28" si="30">K26+N26+O26+Q26+S26+U26+W26+X26+AA26+AD26+AC26</f>
        <v>757820.93400000001</v>
      </c>
      <c r="AF26" s="958">
        <f t="shared" ref="AF26:AF28" si="31">AE26*12</f>
        <v>9093851.2080000006</v>
      </c>
      <c r="AG26" s="958">
        <f t="shared" ref="AG26:AG28" si="32">K26</f>
        <v>194313.06</v>
      </c>
      <c r="AH26" s="958">
        <f t="shared" ref="AH26:AH28" si="33">AE26*12+AG26</f>
        <v>9288164.2680000011</v>
      </c>
      <c r="AI26" s="1013"/>
      <c r="AJ26" s="1013"/>
      <c r="AK26" s="1021"/>
      <c r="AL26" s="1021"/>
      <c r="AM26" s="1013"/>
      <c r="AN26" s="1013"/>
      <c r="AO26" s="1013"/>
      <c r="AP26" s="1013"/>
      <c r="AQ26" s="1013"/>
      <c r="AR26" s="1013"/>
      <c r="AS26" s="1013"/>
      <c r="AT26" s="1013"/>
      <c r="AU26" s="1013"/>
      <c r="AV26" s="1013"/>
      <c r="AW26" s="1013"/>
      <c r="AX26" s="1013"/>
      <c r="AY26" s="1013"/>
      <c r="AZ26" s="1013"/>
      <c r="BA26" s="1013"/>
      <c r="BB26" s="1013"/>
      <c r="BC26" s="1013"/>
      <c r="BD26" s="1013"/>
      <c r="BE26" s="1013"/>
      <c r="BF26" s="1013"/>
      <c r="BG26" s="1013"/>
      <c r="BH26" s="1013"/>
      <c r="BI26" s="1013"/>
      <c r="BJ26" s="1013"/>
      <c r="BK26" s="1013"/>
      <c r="BL26" s="1013"/>
      <c r="BM26" s="1013"/>
      <c r="BN26" s="1013"/>
      <c r="BO26" s="1013"/>
      <c r="BP26" s="1013"/>
      <c r="BQ26" s="1013"/>
      <c r="BR26" s="1013"/>
      <c r="BS26" s="1013"/>
      <c r="BT26" s="1013"/>
      <c r="BU26" s="1013"/>
      <c r="BV26" s="1013"/>
      <c r="BW26" s="1013"/>
      <c r="BX26" s="1013"/>
      <c r="BY26" s="1013"/>
      <c r="BZ26" s="1013"/>
      <c r="CA26" s="1013"/>
      <c r="CB26" s="1013"/>
      <c r="CC26" s="1013"/>
      <c r="CD26" s="1013"/>
      <c r="CE26" s="1013"/>
      <c r="CF26" s="1013"/>
      <c r="CG26" s="1013"/>
      <c r="CH26" s="1013"/>
      <c r="CI26" s="1013"/>
      <c r="CJ26" s="1013"/>
      <c r="CK26" s="1013"/>
      <c r="CL26" s="1013"/>
      <c r="CM26" s="1013"/>
      <c r="CN26" s="1013"/>
      <c r="CO26" s="1013"/>
      <c r="CP26" s="1013"/>
      <c r="CQ26" s="1013"/>
      <c r="CR26" s="1013"/>
      <c r="CS26" s="1013"/>
      <c r="CT26" s="1013"/>
      <c r="CU26" s="1013"/>
      <c r="CV26" s="1013"/>
      <c r="CW26" s="1013"/>
      <c r="CX26" s="1013"/>
      <c r="CY26" s="1013"/>
      <c r="CZ26" s="1013"/>
      <c r="DA26" s="1013"/>
      <c r="DB26" s="1013"/>
      <c r="DC26" s="1013"/>
      <c r="DD26" s="1013"/>
      <c r="DE26" s="1013"/>
      <c r="DF26" s="1013"/>
      <c r="DG26" s="1013"/>
      <c r="DH26" s="1013"/>
      <c r="DI26" s="1013"/>
      <c r="DJ26" s="1013"/>
      <c r="DK26" s="1013"/>
      <c r="DL26" s="1013"/>
      <c r="DM26" s="1013"/>
      <c r="DN26" s="1013"/>
      <c r="DO26" s="1013"/>
      <c r="DP26" s="1013"/>
      <c r="DQ26" s="1013"/>
      <c r="DR26" s="1013"/>
      <c r="DS26" s="1013"/>
      <c r="DT26" s="1013"/>
      <c r="DU26" s="1013"/>
      <c r="DV26" s="1013"/>
      <c r="DW26" s="1013"/>
      <c r="DX26" s="1013"/>
      <c r="DY26" s="1013"/>
      <c r="DZ26" s="1013"/>
      <c r="EA26" s="1013"/>
      <c r="EB26" s="1013"/>
      <c r="EC26" s="1013"/>
      <c r="ED26" s="1013"/>
      <c r="EE26" s="1013"/>
      <c r="EF26" s="1013"/>
      <c r="EG26" s="1013"/>
      <c r="EH26" s="1013"/>
      <c r="EI26" s="1013"/>
      <c r="EJ26" s="1013"/>
      <c r="EK26" s="1013"/>
      <c r="EL26" s="1013"/>
      <c r="EM26" s="1013"/>
      <c r="EN26" s="1013"/>
      <c r="EO26" s="1013"/>
      <c r="EP26" s="1013"/>
      <c r="EQ26" s="1013"/>
      <c r="ER26" s="1013"/>
      <c r="ES26" s="1013"/>
      <c r="ET26" s="1013"/>
      <c r="EU26" s="1013"/>
      <c r="EV26" s="1013"/>
      <c r="EW26" s="1013"/>
      <c r="EX26" s="1013"/>
      <c r="EY26" s="1013"/>
      <c r="EZ26" s="1013"/>
      <c r="FA26" s="1013"/>
      <c r="FB26" s="1013"/>
      <c r="FC26" s="1013"/>
      <c r="FD26" s="1013"/>
      <c r="FE26" s="1013"/>
      <c r="FF26" s="1013"/>
      <c r="FG26" s="1013"/>
      <c r="FH26" s="1013"/>
      <c r="FI26" s="1013"/>
      <c r="FJ26" s="1013"/>
      <c r="FK26" s="1013"/>
      <c r="FL26" s="1013"/>
      <c r="FM26" s="1013"/>
      <c r="FN26" s="1013"/>
      <c r="FO26" s="1013"/>
      <c r="FP26" s="1013"/>
      <c r="FQ26" s="1013"/>
      <c r="FR26" s="1013"/>
      <c r="FS26" s="1013"/>
      <c r="FT26" s="1013"/>
      <c r="FU26" s="1013"/>
      <c r="FV26" s="1013"/>
      <c r="FW26" s="1013"/>
      <c r="FX26" s="1013"/>
      <c r="FY26" s="1013"/>
      <c r="FZ26" s="1013"/>
      <c r="GA26" s="1013"/>
      <c r="GB26" s="1013"/>
      <c r="GC26" s="1013"/>
      <c r="GD26" s="1013"/>
      <c r="GE26" s="1013"/>
      <c r="GF26" s="1013"/>
      <c r="GG26" s="1013"/>
      <c r="GH26" s="1013"/>
      <c r="GI26" s="1013"/>
      <c r="GJ26" s="1013"/>
      <c r="GK26" s="1013"/>
      <c r="GL26" s="1013"/>
      <c r="GM26" s="1013"/>
      <c r="GN26" s="1013"/>
      <c r="GO26" s="1013"/>
      <c r="GP26" s="1013"/>
      <c r="GQ26" s="1013"/>
      <c r="GR26" s="1013"/>
      <c r="GS26" s="1013"/>
      <c r="GT26" s="1013"/>
      <c r="GU26" s="1013"/>
      <c r="GV26" s="1013"/>
      <c r="GW26" s="1013"/>
      <c r="GX26" s="1013"/>
      <c r="GY26" s="1013"/>
      <c r="GZ26" s="1013"/>
      <c r="HA26" s="1013"/>
    </row>
    <row r="27" spans="1:209" s="1003" customFormat="1" ht="42" customHeight="1">
      <c r="A27" s="950">
        <v>2</v>
      </c>
      <c r="B27" s="952" t="s">
        <v>713</v>
      </c>
      <c r="C27" s="952" t="s">
        <v>714</v>
      </c>
      <c r="D27" s="956" t="s">
        <v>73</v>
      </c>
      <c r="E27" s="959">
        <v>1</v>
      </c>
      <c r="F27" s="958" t="s">
        <v>817</v>
      </c>
      <c r="G27" s="956">
        <v>4.0999999999999996</v>
      </c>
      <c r="H27" s="958">
        <v>17697</v>
      </c>
      <c r="I27" s="955">
        <v>2</v>
      </c>
      <c r="J27" s="958"/>
      <c r="K27" s="958">
        <f>H27*G27*E27*I27</f>
        <v>145115.4</v>
      </c>
      <c r="L27" s="958">
        <v>0</v>
      </c>
      <c r="M27" s="958"/>
      <c r="N27" s="973"/>
      <c r="O27" s="958"/>
      <c r="P27" s="958"/>
      <c r="Q27" s="958"/>
      <c r="R27" s="958"/>
      <c r="S27" s="958"/>
      <c r="T27" s="958"/>
      <c r="U27" s="958"/>
      <c r="V27" s="958"/>
      <c r="W27" s="958"/>
      <c r="X27" s="958"/>
      <c r="Y27" s="958">
        <v>80</v>
      </c>
      <c r="Z27" s="959">
        <f>Y27*350%</f>
        <v>280</v>
      </c>
      <c r="AA27" s="959">
        <f t="shared" si="28"/>
        <v>406323.11999999994</v>
      </c>
      <c r="AB27" s="959"/>
      <c r="AC27" s="959"/>
      <c r="AD27" s="958">
        <f t="shared" si="29"/>
        <v>14511.54</v>
      </c>
      <c r="AE27" s="958">
        <f t="shared" si="30"/>
        <v>565950.05999999994</v>
      </c>
      <c r="AF27" s="958">
        <f t="shared" si="31"/>
        <v>6791400.7199999988</v>
      </c>
      <c r="AG27" s="958">
        <f t="shared" si="32"/>
        <v>145115.4</v>
      </c>
      <c r="AH27" s="958">
        <f t="shared" si="33"/>
        <v>6936516.1199999992</v>
      </c>
      <c r="AI27" s="1020">
        <v>6181916.04</v>
      </c>
      <c r="AJ27" s="1020">
        <f>AF27-AI27</f>
        <v>609484.67999999877</v>
      </c>
      <c r="AK27" s="1021"/>
      <c r="AL27" s="1021"/>
      <c r="AM27" s="1013"/>
      <c r="AN27" s="1013"/>
      <c r="AO27" s="1013"/>
      <c r="AP27" s="1013"/>
      <c r="AQ27" s="1013"/>
      <c r="AR27" s="1013"/>
      <c r="AS27" s="1013"/>
      <c r="AT27" s="1013"/>
      <c r="AU27" s="1013"/>
      <c r="AV27" s="1013"/>
      <c r="AW27" s="1013"/>
      <c r="AX27" s="1013"/>
      <c r="AY27" s="1013"/>
      <c r="AZ27" s="1013"/>
      <c r="BA27" s="1013"/>
      <c r="BB27" s="1013"/>
      <c r="BC27" s="1013"/>
      <c r="BD27" s="1013"/>
      <c r="BE27" s="1013"/>
      <c r="BF27" s="1013"/>
      <c r="BG27" s="1013"/>
      <c r="BH27" s="1013"/>
      <c r="BI27" s="1013"/>
      <c r="BJ27" s="1013"/>
      <c r="BK27" s="1013"/>
      <c r="BL27" s="1013"/>
      <c r="BM27" s="1013"/>
      <c r="BN27" s="1013"/>
      <c r="BO27" s="1013"/>
      <c r="BP27" s="1013"/>
      <c r="BQ27" s="1013"/>
      <c r="BR27" s="1013"/>
      <c r="BS27" s="1013"/>
      <c r="BT27" s="1013"/>
      <c r="BU27" s="1013"/>
      <c r="BV27" s="1013"/>
      <c r="BW27" s="1013"/>
      <c r="BX27" s="1013"/>
      <c r="BY27" s="1013"/>
      <c r="BZ27" s="1013"/>
      <c r="CA27" s="1013"/>
      <c r="CB27" s="1013"/>
      <c r="CC27" s="1013"/>
      <c r="CD27" s="1013"/>
      <c r="CE27" s="1013"/>
      <c r="CF27" s="1013"/>
      <c r="CG27" s="1013"/>
      <c r="CH27" s="1013"/>
      <c r="CI27" s="1013"/>
      <c r="CJ27" s="1013"/>
      <c r="CK27" s="1013"/>
      <c r="CL27" s="1013"/>
      <c r="CM27" s="1013"/>
      <c r="CN27" s="1013"/>
      <c r="CO27" s="1013"/>
      <c r="CP27" s="1013"/>
      <c r="CQ27" s="1013"/>
      <c r="CR27" s="1013"/>
      <c r="CS27" s="1013"/>
      <c r="CT27" s="1013"/>
      <c r="CU27" s="1013"/>
      <c r="CV27" s="1013"/>
      <c r="CW27" s="1013"/>
      <c r="CX27" s="1013"/>
      <c r="CY27" s="1013"/>
      <c r="CZ27" s="1013"/>
      <c r="DA27" s="1013"/>
      <c r="DB27" s="1013"/>
      <c r="DC27" s="1013"/>
      <c r="DD27" s="1013"/>
      <c r="DE27" s="1013"/>
      <c r="DF27" s="1013"/>
      <c r="DG27" s="1013"/>
      <c r="DH27" s="1013"/>
      <c r="DI27" s="1013"/>
      <c r="DJ27" s="1013"/>
      <c r="DK27" s="1013"/>
      <c r="DL27" s="1013"/>
      <c r="DM27" s="1013"/>
      <c r="DN27" s="1013"/>
      <c r="DO27" s="1013"/>
      <c r="DP27" s="1013"/>
      <c r="DQ27" s="1013"/>
      <c r="DR27" s="1013"/>
      <c r="DS27" s="1013"/>
      <c r="DT27" s="1013"/>
      <c r="DU27" s="1013"/>
      <c r="DV27" s="1013"/>
      <c r="DW27" s="1013"/>
      <c r="DX27" s="1013"/>
      <c r="DY27" s="1013"/>
      <c r="DZ27" s="1013"/>
      <c r="EA27" s="1013"/>
      <c r="EB27" s="1013"/>
      <c r="EC27" s="1013"/>
      <c r="ED27" s="1013"/>
      <c r="EE27" s="1013"/>
      <c r="EF27" s="1013"/>
      <c r="EG27" s="1013"/>
      <c r="EH27" s="1013"/>
      <c r="EI27" s="1013"/>
      <c r="EJ27" s="1013"/>
      <c r="EK27" s="1013"/>
      <c r="EL27" s="1013"/>
      <c r="EM27" s="1013"/>
      <c r="EN27" s="1013"/>
      <c r="EO27" s="1013"/>
      <c r="EP27" s="1013"/>
      <c r="EQ27" s="1013"/>
      <c r="ER27" s="1013"/>
      <c r="ES27" s="1013"/>
      <c r="ET27" s="1013"/>
      <c r="EU27" s="1013"/>
      <c r="EV27" s="1013"/>
      <c r="EW27" s="1013"/>
      <c r="EX27" s="1013"/>
      <c r="EY27" s="1013"/>
      <c r="EZ27" s="1013"/>
      <c r="FA27" s="1013"/>
      <c r="FB27" s="1013"/>
      <c r="FC27" s="1013"/>
      <c r="FD27" s="1013"/>
      <c r="FE27" s="1013"/>
      <c r="FF27" s="1013"/>
      <c r="FG27" s="1013"/>
      <c r="FH27" s="1013"/>
      <c r="FI27" s="1013"/>
      <c r="FJ27" s="1013"/>
      <c r="FK27" s="1013"/>
      <c r="FL27" s="1013"/>
      <c r="FM27" s="1013"/>
      <c r="FN27" s="1013"/>
      <c r="FO27" s="1013"/>
      <c r="FP27" s="1013"/>
      <c r="FQ27" s="1013"/>
      <c r="FR27" s="1013"/>
      <c r="FS27" s="1013"/>
      <c r="FT27" s="1013"/>
      <c r="FU27" s="1013"/>
      <c r="FV27" s="1013"/>
      <c r="FW27" s="1013"/>
      <c r="FX27" s="1013"/>
      <c r="FY27" s="1013"/>
      <c r="FZ27" s="1013"/>
      <c r="GA27" s="1013"/>
      <c r="GB27" s="1013"/>
      <c r="GC27" s="1013"/>
      <c r="GD27" s="1013"/>
      <c r="GE27" s="1013"/>
      <c r="GF27" s="1013"/>
      <c r="GG27" s="1013"/>
      <c r="GH27" s="1013"/>
      <c r="GI27" s="1013"/>
      <c r="GJ27" s="1013"/>
      <c r="GK27" s="1013"/>
      <c r="GL27" s="1013"/>
      <c r="GM27" s="1013"/>
      <c r="GN27" s="1013"/>
      <c r="GO27" s="1013"/>
      <c r="GP27" s="1013"/>
      <c r="GQ27" s="1013"/>
      <c r="GR27" s="1013"/>
      <c r="GS27" s="1013"/>
      <c r="GT27" s="1013"/>
      <c r="GU27" s="1013"/>
      <c r="GV27" s="1013"/>
      <c r="GW27" s="1013"/>
      <c r="GX27" s="1013"/>
      <c r="GY27" s="1013"/>
      <c r="GZ27" s="1013"/>
      <c r="HA27" s="1013"/>
    </row>
    <row r="28" spans="1:209" s="1003" customFormat="1" ht="42" customHeight="1">
      <c r="A28" s="950">
        <v>3</v>
      </c>
      <c r="B28" s="952" t="s">
        <v>713</v>
      </c>
      <c r="C28" s="952" t="s">
        <v>714</v>
      </c>
      <c r="D28" s="956" t="s">
        <v>73</v>
      </c>
      <c r="E28" s="959">
        <v>1</v>
      </c>
      <c r="F28" s="958" t="s">
        <v>585</v>
      </c>
      <c r="G28" s="956">
        <v>4.51</v>
      </c>
      <c r="H28" s="958">
        <v>17697</v>
      </c>
      <c r="I28" s="955">
        <v>2</v>
      </c>
      <c r="J28" s="958"/>
      <c r="K28" s="958">
        <f>H28*G28*E28*I28</f>
        <v>159626.94</v>
      </c>
      <c r="L28" s="958">
        <v>0</v>
      </c>
      <c r="M28" s="958"/>
      <c r="N28" s="973"/>
      <c r="O28" s="958"/>
      <c r="P28" s="958"/>
      <c r="Q28" s="958"/>
      <c r="R28" s="958"/>
      <c r="S28" s="958"/>
      <c r="T28" s="958"/>
      <c r="U28" s="958"/>
      <c r="V28" s="958"/>
      <c r="W28" s="958"/>
      <c r="X28" s="958"/>
      <c r="Y28" s="958">
        <v>80</v>
      </c>
      <c r="Z28" s="959">
        <f>Y28*350%</f>
        <v>280</v>
      </c>
      <c r="AA28" s="959">
        <f t="shared" si="28"/>
        <v>446955.43199999997</v>
      </c>
      <c r="AB28" s="959"/>
      <c r="AC28" s="959"/>
      <c r="AD28" s="958">
        <f t="shared" si="29"/>
        <v>15962.694000000001</v>
      </c>
      <c r="AE28" s="958">
        <f t="shared" si="30"/>
        <v>622545.06599999999</v>
      </c>
      <c r="AF28" s="958">
        <f t="shared" si="31"/>
        <v>7470540.7919999994</v>
      </c>
      <c r="AG28" s="958">
        <f t="shared" si="32"/>
        <v>159626.94</v>
      </c>
      <c r="AH28" s="958">
        <f t="shared" si="33"/>
        <v>7630167.7319999998</v>
      </c>
      <c r="AI28" s="1020">
        <v>6800107.6439999994</v>
      </c>
      <c r="AJ28" s="1020">
        <f>AF28-AI28</f>
        <v>670433.14800000004</v>
      </c>
      <c r="AK28" s="1021"/>
      <c r="AL28" s="1021"/>
      <c r="AM28" s="1013"/>
      <c r="AN28" s="1013"/>
      <c r="AO28" s="1013"/>
      <c r="AP28" s="1013"/>
      <c r="AQ28" s="1013"/>
      <c r="AR28" s="1013"/>
      <c r="AS28" s="1013"/>
      <c r="AT28" s="1013"/>
      <c r="AU28" s="1013"/>
      <c r="AV28" s="1013"/>
      <c r="AW28" s="1013"/>
      <c r="AX28" s="1013"/>
      <c r="AY28" s="1013"/>
      <c r="AZ28" s="1013"/>
      <c r="BA28" s="1013"/>
      <c r="BB28" s="1013"/>
      <c r="BC28" s="1013"/>
      <c r="BD28" s="1013"/>
      <c r="BE28" s="1013"/>
      <c r="BF28" s="1013"/>
      <c r="BG28" s="1013"/>
      <c r="BH28" s="1013"/>
      <c r="BI28" s="1013"/>
      <c r="BJ28" s="1013"/>
      <c r="BK28" s="1013"/>
      <c r="BL28" s="1013"/>
      <c r="BM28" s="1013"/>
      <c r="BN28" s="1013"/>
      <c r="BO28" s="1013"/>
      <c r="BP28" s="1013"/>
      <c r="BQ28" s="1013"/>
      <c r="BR28" s="1013"/>
      <c r="BS28" s="1013"/>
      <c r="BT28" s="1013"/>
      <c r="BU28" s="1013"/>
      <c r="BV28" s="1013"/>
      <c r="BW28" s="1013"/>
      <c r="BX28" s="1013"/>
      <c r="BY28" s="1013"/>
      <c r="BZ28" s="1013"/>
      <c r="CA28" s="1013"/>
      <c r="CB28" s="1013"/>
      <c r="CC28" s="1013"/>
      <c r="CD28" s="1013"/>
      <c r="CE28" s="1013"/>
      <c r="CF28" s="1013"/>
      <c r="CG28" s="1013"/>
      <c r="CH28" s="1013"/>
      <c r="CI28" s="1013"/>
      <c r="CJ28" s="1013"/>
      <c r="CK28" s="1013"/>
      <c r="CL28" s="1013"/>
      <c r="CM28" s="1013"/>
      <c r="CN28" s="1013"/>
      <c r="CO28" s="1013"/>
      <c r="CP28" s="1013"/>
      <c r="CQ28" s="1013"/>
      <c r="CR28" s="1013"/>
      <c r="CS28" s="1013"/>
      <c r="CT28" s="1013"/>
      <c r="CU28" s="1013"/>
      <c r="CV28" s="1013"/>
      <c r="CW28" s="1013"/>
      <c r="CX28" s="1013"/>
      <c r="CY28" s="1013"/>
      <c r="CZ28" s="1013"/>
      <c r="DA28" s="1013"/>
      <c r="DB28" s="1013"/>
      <c r="DC28" s="1013"/>
      <c r="DD28" s="1013"/>
      <c r="DE28" s="1013"/>
      <c r="DF28" s="1013"/>
      <c r="DG28" s="1013"/>
      <c r="DH28" s="1013"/>
      <c r="DI28" s="1013"/>
      <c r="DJ28" s="1013"/>
      <c r="DK28" s="1013"/>
      <c r="DL28" s="1013"/>
      <c r="DM28" s="1013"/>
      <c r="DN28" s="1013"/>
      <c r="DO28" s="1013"/>
      <c r="DP28" s="1013"/>
      <c r="DQ28" s="1013"/>
      <c r="DR28" s="1013"/>
      <c r="DS28" s="1013"/>
      <c r="DT28" s="1013"/>
      <c r="DU28" s="1013"/>
      <c r="DV28" s="1013"/>
      <c r="DW28" s="1013"/>
      <c r="DX28" s="1013"/>
      <c r="DY28" s="1013"/>
      <c r="DZ28" s="1013"/>
      <c r="EA28" s="1013"/>
      <c r="EB28" s="1013"/>
      <c r="EC28" s="1013"/>
      <c r="ED28" s="1013"/>
      <c r="EE28" s="1013"/>
      <c r="EF28" s="1013"/>
      <c r="EG28" s="1013"/>
      <c r="EH28" s="1013"/>
      <c r="EI28" s="1013"/>
      <c r="EJ28" s="1013"/>
      <c r="EK28" s="1013"/>
      <c r="EL28" s="1013"/>
      <c r="EM28" s="1013"/>
      <c r="EN28" s="1013"/>
      <c r="EO28" s="1013"/>
      <c r="EP28" s="1013"/>
      <c r="EQ28" s="1013"/>
      <c r="ER28" s="1013"/>
      <c r="ES28" s="1013"/>
      <c r="ET28" s="1013"/>
      <c r="EU28" s="1013"/>
      <c r="EV28" s="1013"/>
      <c r="EW28" s="1013"/>
      <c r="EX28" s="1013"/>
      <c r="EY28" s="1013"/>
      <c r="EZ28" s="1013"/>
      <c r="FA28" s="1013"/>
      <c r="FB28" s="1013"/>
      <c r="FC28" s="1013"/>
      <c r="FD28" s="1013"/>
      <c r="FE28" s="1013"/>
      <c r="FF28" s="1013"/>
      <c r="FG28" s="1013"/>
      <c r="FH28" s="1013"/>
      <c r="FI28" s="1013"/>
      <c r="FJ28" s="1013"/>
      <c r="FK28" s="1013"/>
      <c r="FL28" s="1013"/>
      <c r="FM28" s="1013"/>
      <c r="FN28" s="1013"/>
      <c r="FO28" s="1013"/>
      <c r="FP28" s="1013"/>
      <c r="FQ28" s="1013"/>
      <c r="FR28" s="1013"/>
      <c r="FS28" s="1013"/>
      <c r="FT28" s="1013"/>
      <c r="FU28" s="1013"/>
      <c r="FV28" s="1013"/>
      <c r="FW28" s="1013"/>
      <c r="FX28" s="1013"/>
      <c r="FY28" s="1013"/>
      <c r="FZ28" s="1013"/>
      <c r="GA28" s="1013"/>
      <c r="GB28" s="1013"/>
      <c r="GC28" s="1013"/>
      <c r="GD28" s="1013"/>
      <c r="GE28" s="1013"/>
      <c r="GF28" s="1013"/>
      <c r="GG28" s="1013"/>
      <c r="GH28" s="1013"/>
      <c r="GI28" s="1013"/>
      <c r="GJ28" s="1013"/>
      <c r="GK28" s="1013"/>
      <c r="GL28" s="1013"/>
      <c r="GM28" s="1013"/>
      <c r="GN28" s="1013"/>
      <c r="GO28" s="1013"/>
      <c r="GP28" s="1013"/>
      <c r="GQ28" s="1013"/>
      <c r="GR28" s="1013"/>
      <c r="GS28" s="1013"/>
      <c r="GT28" s="1013"/>
      <c r="GU28" s="1013"/>
      <c r="GV28" s="1013"/>
      <c r="GW28" s="1013"/>
      <c r="GX28" s="1013"/>
      <c r="GY28" s="1013"/>
      <c r="GZ28" s="1013"/>
      <c r="HA28" s="1013"/>
    </row>
    <row r="29" spans="1:209" s="1015" customFormat="1" ht="30.75" customHeight="1">
      <c r="A29" s="950"/>
      <c r="B29" s="964" t="s">
        <v>627</v>
      </c>
      <c r="C29" s="952"/>
      <c r="D29" s="956"/>
      <c r="E29" s="961">
        <f>SUM(E26:E28)</f>
        <v>3</v>
      </c>
      <c r="F29" s="960"/>
      <c r="G29" s="956"/>
      <c r="H29" s="958"/>
      <c r="I29" s="955"/>
      <c r="J29" s="958"/>
      <c r="K29" s="961">
        <f>SUM(K26:K28)</f>
        <v>499055.39999999997</v>
      </c>
      <c r="L29" s="961">
        <f>SUM(L26:L28)</f>
        <v>0</v>
      </c>
      <c r="M29" s="961">
        <f>SUM(M26:M28)</f>
        <v>0</v>
      </c>
      <c r="N29" s="961">
        <f>SUM(N26:N28)</f>
        <v>0</v>
      </c>
      <c r="O29" s="961">
        <f>SUM(O26:O28)</f>
        <v>0</v>
      </c>
      <c r="P29" s="961"/>
      <c r="Q29" s="961">
        <f>SUM(Q26:Q28)</f>
        <v>0</v>
      </c>
      <c r="R29" s="961"/>
      <c r="S29" s="961">
        <f>SUM(S26:S28)</f>
        <v>0</v>
      </c>
      <c r="T29" s="961"/>
      <c r="U29" s="961">
        <f>SUM(U26:U28)</f>
        <v>0</v>
      </c>
      <c r="V29" s="961"/>
      <c r="W29" s="961">
        <f>SUM(W26:W28)</f>
        <v>0</v>
      </c>
      <c r="X29" s="961">
        <f>SUM(X26:X28)</f>
        <v>0</v>
      </c>
      <c r="Y29" s="961"/>
      <c r="Z29" s="961"/>
      <c r="AA29" s="961">
        <f>SUM(AA26:AA28)</f>
        <v>1397355.1199999999</v>
      </c>
      <c r="AB29" s="961">
        <f t="shared" ref="AB29:AG29" si="34">SUM(AB26:AB28)</f>
        <v>0</v>
      </c>
      <c r="AC29" s="961">
        <f t="shared" si="34"/>
        <v>0</v>
      </c>
      <c r="AD29" s="961">
        <f t="shared" si="34"/>
        <v>49905.540000000008</v>
      </c>
      <c r="AE29" s="961">
        <f t="shared" si="34"/>
        <v>1946316.06</v>
      </c>
      <c r="AF29" s="961">
        <f t="shared" si="34"/>
        <v>23355792.719999999</v>
      </c>
      <c r="AG29" s="961">
        <f t="shared" si="34"/>
        <v>499055.39999999997</v>
      </c>
      <c r="AH29" s="961">
        <f>SUM(AH26:AH28)</f>
        <v>23854848.120000001</v>
      </c>
      <c r="AI29" s="1020"/>
      <c r="AJ29" s="1020"/>
      <c r="AK29" s="1021"/>
      <c r="AL29" s="1021"/>
      <c r="AM29" s="1013"/>
      <c r="AN29" s="1013"/>
      <c r="AO29" s="1013"/>
      <c r="AP29" s="1013"/>
      <c r="AQ29" s="1013"/>
      <c r="AR29" s="1013"/>
      <c r="AS29" s="1013"/>
      <c r="AT29" s="1013"/>
      <c r="AU29" s="1013"/>
      <c r="AV29" s="1013"/>
      <c r="AW29" s="1013"/>
      <c r="AX29" s="1013"/>
      <c r="AY29" s="1013"/>
      <c r="AZ29" s="1013"/>
      <c r="BA29" s="1013"/>
      <c r="BB29" s="1013"/>
      <c r="BC29" s="1013"/>
      <c r="BD29" s="1013"/>
      <c r="BE29" s="1013"/>
      <c r="BF29" s="1013"/>
      <c r="BG29" s="1013"/>
      <c r="BH29" s="1013"/>
      <c r="BI29" s="1013"/>
      <c r="BJ29" s="1013"/>
      <c r="BK29" s="1013"/>
      <c r="BL29" s="1013"/>
      <c r="BM29" s="1013"/>
      <c r="BN29" s="1013"/>
      <c r="BO29" s="1013"/>
      <c r="BP29" s="1013"/>
      <c r="BQ29" s="1013"/>
      <c r="BR29" s="1013"/>
      <c r="BS29" s="1013"/>
      <c r="BT29" s="1013"/>
      <c r="BU29" s="1013"/>
      <c r="BV29" s="1013"/>
      <c r="BW29" s="1013"/>
      <c r="BX29" s="1013"/>
      <c r="BY29" s="1013"/>
      <c r="BZ29" s="1013"/>
      <c r="CA29" s="1013"/>
      <c r="CB29" s="1013"/>
      <c r="CC29" s="1013"/>
      <c r="CD29" s="1013"/>
      <c r="CE29" s="1013"/>
      <c r="CF29" s="1013"/>
      <c r="CG29" s="1013"/>
      <c r="CH29" s="1013"/>
      <c r="CI29" s="1013"/>
      <c r="CJ29" s="1013"/>
      <c r="CK29" s="1013"/>
      <c r="CL29" s="1013"/>
      <c r="CM29" s="1013"/>
      <c r="CN29" s="1013"/>
      <c r="CO29" s="1013"/>
      <c r="CP29" s="1013"/>
      <c r="CQ29" s="1013"/>
      <c r="CR29" s="1013"/>
      <c r="CS29" s="1013"/>
      <c r="CT29" s="1013"/>
      <c r="CU29" s="1013"/>
      <c r="CV29" s="1013"/>
      <c r="CW29" s="1013"/>
      <c r="CX29" s="1013"/>
      <c r="CY29" s="1013"/>
      <c r="CZ29" s="1013"/>
      <c r="DA29" s="1013"/>
      <c r="DB29" s="1013"/>
      <c r="DC29" s="1013"/>
      <c r="DD29" s="1013"/>
      <c r="DE29" s="1013"/>
      <c r="DF29" s="1013"/>
      <c r="DG29" s="1013"/>
      <c r="DH29" s="1013"/>
      <c r="DI29" s="1013"/>
      <c r="DJ29" s="1013"/>
      <c r="DK29" s="1013"/>
      <c r="DL29" s="1013"/>
      <c r="DM29" s="1013"/>
      <c r="DN29" s="1013"/>
      <c r="DO29" s="1013"/>
      <c r="DP29" s="1013"/>
      <c r="DQ29" s="1013"/>
      <c r="DR29" s="1013"/>
      <c r="DS29" s="1013"/>
      <c r="DT29" s="1013"/>
      <c r="DU29" s="1013"/>
      <c r="DV29" s="1013"/>
      <c r="DW29" s="1013"/>
      <c r="DX29" s="1013"/>
      <c r="DY29" s="1013"/>
      <c r="DZ29" s="1013"/>
      <c r="EA29" s="1013"/>
      <c r="EB29" s="1013"/>
      <c r="EC29" s="1013"/>
      <c r="ED29" s="1013"/>
      <c r="EE29" s="1013"/>
      <c r="EF29" s="1013"/>
      <c r="EG29" s="1013"/>
      <c r="EH29" s="1013"/>
      <c r="EI29" s="1013"/>
      <c r="EJ29" s="1013"/>
      <c r="EK29" s="1013"/>
      <c r="EL29" s="1013"/>
      <c r="EM29" s="1013"/>
      <c r="EN29" s="1013"/>
      <c r="EO29" s="1013"/>
      <c r="EP29" s="1013"/>
      <c r="EQ29" s="1013"/>
      <c r="ER29" s="1013"/>
      <c r="ES29" s="1013"/>
      <c r="ET29" s="1013"/>
      <c r="EU29" s="1013"/>
      <c r="EV29" s="1013"/>
      <c r="EW29" s="1013"/>
      <c r="EX29" s="1013"/>
      <c r="EY29" s="1013"/>
      <c r="EZ29" s="1013"/>
      <c r="FA29" s="1013"/>
      <c r="FB29" s="1013"/>
      <c r="FC29" s="1013"/>
      <c r="FD29" s="1013"/>
      <c r="FE29" s="1013"/>
      <c r="FF29" s="1013"/>
      <c r="FG29" s="1013"/>
      <c r="FH29" s="1013"/>
      <c r="FI29" s="1013"/>
      <c r="FJ29" s="1013"/>
      <c r="FK29" s="1013"/>
      <c r="FL29" s="1013"/>
      <c r="FM29" s="1013"/>
      <c r="FN29" s="1013"/>
      <c r="FO29" s="1013"/>
      <c r="FP29" s="1013"/>
      <c r="FQ29" s="1013"/>
      <c r="FR29" s="1013"/>
      <c r="FS29" s="1013"/>
      <c r="FT29" s="1013"/>
      <c r="FU29" s="1013"/>
      <c r="FV29" s="1013"/>
      <c r="FW29" s="1013"/>
      <c r="FX29" s="1013"/>
      <c r="FY29" s="1013"/>
      <c r="FZ29" s="1013"/>
      <c r="GA29" s="1013"/>
      <c r="GB29" s="1013"/>
      <c r="GC29" s="1013"/>
      <c r="GD29" s="1013"/>
      <c r="GE29" s="1013"/>
      <c r="GF29" s="1013"/>
      <c r="GG29" s="1013"/>
      <c r="GH29" s="1013"/>
      <c r="GI29" s="1013"/>
      <c r="GJ29" s="1013"/>
      <c r="GK29" s="1013"/>
      <c r="GL29" s="1013"/>
      <c r="GM29" s="1013"/>
      <c r="GN29" s="1013"/>
      <c r="GO29" s="1013"/>
      <c r="GP29" s="1013"/>
      <c r="GQ29" s="1013"/>
      <c r="GR29" s="1013"/>
      <c r="GS29" s="1013"/>
      <c r="GT29" s="1013"/>
      <c r="GU29" s="1013"/>
      <c r="GV29" s="1013"/>
      <c r="GW29" s="1013"/>
      <c r="GX29" s="1013"/>
      <c r="GY29" s="1013"/>
      <c r="GZ29" s="1013"/>
      <c r="HA29" s="1013"/>
    </row>
    <row r="30" spans="1:209" s="1003" customFormat="1" ht="21" customHeight="1">
      <c r="A30" s="950"/>
      <c r="B30" s="952"/>
      <c r="C30" s="964"/>
      <c r="D30" s="963"/>
      <c r="E30" s="950"/>
      <c r="F30" s="963"/>
      <c r="G30" s="963"/>
      <c r="H30" s="950"/>
      <c r="I30" s="950"/>
      <c r="J30" s="963"/>
      <c r="K30" s="963"/>
      <c r="L30" s="963"/>
      <c r="M30" s="963"/>
      <c r="N30" s="963"/>
      <c r="O30" s="963"/>
      <c r="P30" s="963"/>
      <c r="Q30" s="966" t="s">
        <v>1175</v>
      </c>
      <c r="R30" s="963"/>
      <c r="S30" s="963"/>
      <c r="T30" s="963"/>
      <c r="U30" s="963"/>
      <c r="V30" s="963"/>
      <c r="W30" s="963"/>
      <c r="X30" s="963"/>
      <c r="Y30" s="963"/>
      <c r="Z30" s="963"/>
      <c r="AA30" s="963"/>
      <c r="AB30" s="963"/>
      <c r="AC30" s="963"/>
      <c r="AD30" s="963"/>
      <c r="AE30" s="963"/>
      <c r="AF30" s="963"/>
      <c r="AG30" s="963"/>
      <c r="AH30" s="963"/>
      <c r="AI30" s="1013"/>
      <c r="AJ30" s="1013"/>
      <c r="AK30" s="1021"/>
      <c r="AL30" s="1021"/>
    </row>
    <row r="31" spans="1:209" s="1003" customFormat="1" ht="58.5" customHeight="1">
      <c r="A31" s="950">
        <v>1</v>
      </c>
      <c r="B31" s="952" t="s">
        <v>1176</v>
      </c>
      <c r="C31" s="971" t="s">
        <v>712</v>
      </c>
      <c r="D31" s="950" t="s">
        <v>153</v>
      </c>
      <c r="E31" s="950">
        <v>1</v>
      </c>
      <c r="F31" s="960" t="s">
        <v>685</v>
      </c>
      <c r="G31" s="956">
        <v>5.8</v>
      </c>
      <c r="H31" s="958">
        <v>17697</v>
      </c>
      <c r="I31" s="955">
        <v>2</v>
      </c>
      <c r="J31" s="963"/>
      <c r="K31" s="958">
        <f t="shared" ref="K31:K34" si="35">H31*G31*E31*I31</f>
        <v>205285.19999999998</v>
      </c>
      <c r="L31" s="963"/>
      <c r="M31" s="963"/>
      <c r="N31" s="963"/>
      <c r="O31" s="963"/>
      <c r="P31" s="963"/>
      <c r="Q31" s="966"/>
      <c r="R31" s="963"/>
      <c r="S31" s="963"/>
      <c r="T31" s="963"/>
      <c r="U31" s="963"/>
      <c r="V31" s="963"/>
      <c r="W31" s="963"/>
      <c r="X31" s="963"/>
      <c r="Y31" s="958">
        <v>80</v>
      </c>
      <c r="Z31" s="959">
        <f>Y31*350%</f>
        <v>280</v>
      </c>
      <c r="AA31" s="959">
        <f t="shared" ref="AA31:AA34" si="36">K31*Z31%</f>
        <v>574798.55999999994</v>
      </c>
      <c r="AB31" s="963"/>
      <c r="AC31" s="963"/>
      <c r="AD31" s="958">
        <f t="shared" ref="AD31:AD34" si="37">K31*0.1</f>
        <v>20528.52</v>
      </c>
      <c r="AE31" s="958">
        <f t="shared" ref="AE31:AE34" si="38">K31+N31+O31+Q31+S31+U31+W31+X31+AA31+AD31+AC31</f>
        <v>800612.27999999991</v>
      </c>
      <c r="AF31" s="958">
        <f t="shared" ref="AF31:AF34" si="39">AE31*12</f>
        <v>9607347.3599999994</v>
      </c>
      <c r="AG31" s="958">
        <f t="shared" ref="AG31:AG34" si="40">K31</f>
        <v>205285.19999999998</v>
      </c>
      <c r="AH31" s="958">
        <f t="shared" ref="AH31:AH34" si="41">AE31*12+AG31</f>
        <v>9812632.5599999987</v>
      </c>
      <c r="AI31" s="1013">
        <v>8745149.5199999996</v>
      </c>
      <c r="AJ31" s="1013">
        <f>AF31-AI31</f>
        <v>862197.83999999985</v>
      </c>
      <c r="AK31" s="1021"/>
      <c r="AL31" s="1021"/>
      <c r="AM31" s="1013"/>
      <c r="AN31" s="1013"/>
      <c r="AO31" s="1013"/>
      <c r="AP31" s="1013"/>
      <c r="AQ31" s="1013"/>
      <c r="AR31" s="1013"/>
      <c r="AS31" s="1013"/>
      <c r="AT31" s="1013"/>
      <c r="AU31" s="1013"/>
      <c r="AV31" s="1013"/>
      <c r="AW31" s="1013"/>
      <c r="AX31" s="1013"/>
      <c r="AY31" s="1013"/>
      <c r="AZ31" s="1013"/>
      <c r="BA31" s="1013"/>
      <c r="BB31" s="1013"/>
      <c r="BC31" s="1013"/>
      <c r="BD31" s="1013"/>
      <c r="BE31" s="1013"/>
      <c r="BF31" s="1013"/>
      <c r="BG31" s="1013"/>
      <c r="BH31" s="1013"/>
      <c r="BI31" s="1013"/>
      <c r="BJ31" s="1013"/>
      <c r="BK31" s="1013"/>
      <c r="BL31" s="1013"/>
      <c r="BM31" s="1013"/>
      <c r="BN31" s="1013"/>
      <c r="BO31" s="1013"/>
      <c r="BP31" s="1013"/>
      <c r="BQ31" s="1013"/>
      <c r="BR31" s="1013"/>
      <c r="BS31" s="1013"/>
      <c r="BT31" s="1013"/>
      <c r="BU31" s="1013"/>
      <c r="BV31" s="1013"/>
      <c r="BW31" s="1013"/>
      <c r="BX31" s="1013"/>
      <c r="BY31" s="1013"/>
      <c r="BZ31" s="1013"/>
      <c r="CA31" s="1013"/>
      <c r="CB31" s="1013"/>
      <c r="CC31" s="1013"/>
      <c r="CD31" s="1013"/>
      <c r="CE31" s="1013"/>
      <c r="CF31" s="1013"/>
      <c r="CG31" s="1013"/>
      <c r="CH31" s="1013"/>
      <c r="CI31" s="1013"/>
      <c r="CJ31" s="1013"/>
      <c r="CK31" s="1013"/>
      <c r="CL31" s="1013"/>
      <c r="CM31" s="1013"/>
      <c r="CN31" s="1013"/>
      <c r="CO31" s="1013"/>
      <c r="CP31" s="1013"/>
      <c r="CQ31" s="1013"/>
      <c r="CR31" s="1013"/>
      <c r="CS31" s="1013"/>
      <c r="CT31" s="1013"/>
      <c r="CU31" s="1013"/>
      <c r="CV31" s="1013"/>
      <c r="CW31" s="1013"/>
      <c r="CX31" s="1013"/>
      <c r="CY31" s="1013"/>
      <c r="CZ31" s="1013"/>
      <c r="DA31" s="1013"/>
      <c r="DB31" s="1013"/>
      <c r="DC31" s="1013"/>
      <c r="DD31" s="1013"/>
      <c r="DE31" s="1013"/>
      <c r="DF31" s="1013"/>
      <c r="DG31" s="1013"/>
      <c r="DH31" s="1013"/>
      <c r="DI31" s="1013"/>
      <c r="DJ31" s="1013"/>
      <c r="DK31" s="1013"/>
      <c r="DL31" s="1013"/>
      <c r="DM31" s="1013"/>
      <c r="DN31" s="1013"/>
      <c r="DO31" s="1013"/>
      <c r="DP31" s="1013"/>
      <c r="DQ31" s="1013"/>
      <c r="DR31" s="1013"/>
      <c r="DS31" s="1013"/>
      <c r="DT31" s="1013"/>
      <c r="DU31" s="1013"/>
      <c r="DV31" s="1013"/>
      <c r="DW31" s="1013"/>
      <c r="DX31" s="1013"/>
      <c r="DY31" s="1013"/>
      <c r="DZ31" s="1013"/>
      <c r="EA31" s="1013"/>
      <c r="EB31" s="1013"/>
      <c r="EC31" s="1013"/>
      <c r="ED31" s="1013"/>
      <c r="EE31" s="1013"/>
      <c r="EF31" s="1013"/>
      <c r="EG31" s="1013"/>
      <c r="EH31" s="1013"/>
      <c r="EI31" s="1013"/>
      <c r="EJ31" s="1013"/>
      <c r="EK31" s="1013"/>
      <c r="EL31" s="1013"/>
      <c r="EM31" s="1013"/>
      <c r="EN31" s="1013"/>
      <c r="EO31" s="1013"/>
      <c r="EP31" s="1013"/>
      <c r="EQ31" s="1013"/>
      <c r="ER31" s="1013"/>
      <c r="ES31" s="1013"/>
      <c r="ET31" s="1013"/>
      <c r="EU31" s="1013"/>
      <c r="EV31" s="1013"/>
      <c r="EW31" s="1013"/>
      <c r="EX31" s="1013"/>
      <c r="EY31" s="1013"/>
      <c r="EZ31" s="1013"/>
      <c r="FA31" s="1013"/>
      <c r="FB31" s="1013"/>
      <c r="FC31" s="1013"/>
      <c r="FD31" s="1013"/>
      <c r="FE31" s="1013"/>
      <c r="FF31" s="1013"/>
      <c r="FG31" s="1013"/>
      <c r="FH31" s="1013"/>
      <c r="FI31" s="1013"/>
      <c r="FJ31" s="1013"/>
      <c r="FK31" s="1013"/>
      <c r="FL31" s="1013"/>
      <c r="FM31" s="1013"/>
      <c r="FN31" s="1013"/>
      <c r="FO31" s="1013"/>
      <c r="FP31" s="1013"/>
      <c r="FQ31" s="1013"/>
      <c r="FR31" s="1013"/>
      <c r="FS31" s="1013"/>
      <c r="FT31" s="1013"/>
      <c r="FU31" s="1013"/>
      <c r="FV31" s="1013"/>
      <c r="FW31" s="1013"/>
      <c r="FX31" s="1013"/>
      <c r="FY31" s="1013"/>
      <c r="FZ31" s="1013"/>
      <c r="GA31" s="1013"/>
      <c r="GB31" s="1013"/>
      <c r="GC31" s="1013"/>
      <c r="GD31" s="1013"/>
      <c r="GE31" s="1013"/>
      <c r="GF31" s="1013"/>
      <c r="GG31" s="1013"/>
      <c r="GH31" s="1013"/>
      <c r="GI31" s="1013"/>
      <c r="GJ31" s="1013"/>
      <c r="GK31" s="1013"/>
      <c r="GL31" s="1013"/>
      <c r="GM31" s="1013"/>
      <c r="GN31" s="1013"/>
      <c r="GO31" s="1013"/>
      <c r="GP31" s="1013"/>
      <c r="GQ31" s="1013"/>
      <c r="GR31" s="1013"/>
      <c r="GS31" s="1013"/>
      <c r="GT31" s="1013"/>
      <c r="GU31" s="1013"/>
      <c r="GV31" s="1013"/>
      <c r="GW31" s="1013"/>
      <c r="GX31" s="1013"/>
      <c r="GY31" s="1013"/>
      <c r="GZ31" s="1013"/>
      <c r="HA31" s="1013"/>
    </row>
    <row r="32" spans="1:209" s="1003" customFormat="1" ht="41.25" customHeight="1">
      <c r="A32" s="950">
        <v>2</v>
      </c>
      <c r="B32" s="952" t="s">
        <v>1177</v>
      </c>
      <c r="C32" s="952" t="s">
        <v>714</v>
      </c>
      <c r="D32" s="956" t="s">
        <v>73</v>
      </c>
      <c r="E32" s="959">
        <v>1</v>
      </c>
      <c r="F32" s="958" t="s">
        <v>162</v>
      </c>
      <c r="G32" s="956">
        <v>4.2300000000000004</v>
      </c>
      <c r="H32" s="957">
        <v>17697</v>
      </c>
      <c r="I32" s="955">
        <v>2</v>
      </c>
      <c r="J32" s="958"/>
      <c r="K32" s="958">
        <f t="shared" si="35"/>
        <v>149716.62000000002</v>
      </c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>
        <v>30</v>
      </c>
      <c r="Z32" s="959">
        <f t="shared" ref="Z32:Z34" si="42">Y32*350%</f>
        <v>105</v>
      </c>
      <c r="AA32" s="959">
        <f t="shared" si="36"/>
        <v>157202.45100000003</v>
      </c>
      <c r="AB32" s="959"/>
      <c r="AC32" s="959"/>
      <c r="AD32" s="958">
        <f t="shared" si="37"/>
        <v>14971.662000000004</v>
      </c>
      <c r="AE32" s="958">
        <f t="shared" si="38"/>
        <v>321890.73300000007</v>
      </c>
      <c r="AF32" s="958">
        <f t="shared" si="39"/>
        <v>3862688.796000001</v>
      </c>
      <c r="AG32" s="958">
        <f t="shared" si="40"/>
        <v>149716.62000000002</v>
      </c>
      <c r="AH32" s="958">
        <f t="shared" si="41"/>
        <v>4012405.4160000011</v>
      </c>
      <c r="AI32" s="1020"/>
      <c r="AJ32" s="1020"/>
      <c r="AK32" s="1021"/>
      <c r="AL32" s="1021"/>
      <c r="AM32" s="1013"/>
      <c r="AN32" s="1013"/>
      <c r="AO32" s="1013"/>
      <c r="AP32" s="1013"/>
      <c r="AQ32" s="1013"/>
      <c r="AR32" s="1013"/>
      <c r="AS32" s="1013"/>
      <c r="AT32" s="1013"/>
      <c r="AU32" s="1013"/>
      <c r="AV32" s="1013"/>
      <c r="AW32" s="1013"/>
      <c r="AX32" s="1013"/>
      <c r="AY32" s="1013"/>
      <c r="AZ32" s="1013"/>
      <c r="BA32" s="1013"/>
      <c r="BB32" s="1013"/>
      <c r="BC32" s="1013"/>
      <c r="BD32" s="1013"/>
      <c r="BE32" s="1013"/>
      <c r="BF32" s="1013"/>
      <c r="BG32" s="1013"/>
      <c r="BH32" s="1013"/>
      <c r="BI32" s="1013"/>
      <c r="BJ32" s="1013"/>
      <c r="BK32" s="1013"/>
      <c r="BL32" s="1013"/>
      <c r="BM32" s="1013"/>
      <c r="BN32" s="1013"/>
      <c r="BO32" s="1013"/>
      <c r="BP32" s="1013"/>
      <c r="BQ32" s="1013"/>
      <c r="BR32" s="1013"/>
      <c r="BS32" s="1013"/>
      <c r="BT32" s="1013"/>
      <c r="BU32" s="1013"/>
      <c r="BV32" s="1013"/>
      <c r="BW32" s="1013"/>
      <c r="BX32" s="1013"/>
      <c r="BY32" s="1013"/>
      <c r="BZ32" s="1013"/>
      <c r="CA32" s="1013"/>
      <c r="CB32" s="1013"/>
      <c r="CC32" s="1013"/>
      <c r="CD32" s="1013"/>
      <c r="CE32" s="1013"/>
      <c r="CF32" s="1013"/>
      <c r="CG32" s="1013"/>
      <c r="CH32" s="1013"/>
      <c r="CI32" s="1013"/>
      <c r="CJ32" s="1013"/>
      <c r="CK32" s="1013"/>
      <c r="CL32" s="1013"/>
      <c r="CM32" s="1013"/>
      <c r="CN32" s="1013"/>
      <c r="CO32" s="1013"/>
      <c r="CP32" s="1013"/>
      <c r="CQ32" s="1013"/>
      <c r="CR32" s="1013"/>
      <c r="CS32" s="1013"/>
      <c r="CT32" s="1013"/>
      <c r="CU32" s="1013"/>
      <c r="CV32" s="1013"/>
      <c r="CW32" s="1013"/>
      <c r="CX32" s="1013"/>
      <c r="CY32" s="1013"/>
      <c r="CZ32" s="1013"/>
      <c r="DA32" s="1013"/>
      <c r="DB32" s="1013"/>
      <c r="DC32" s="1013"/>
      <c r="DD32" s="1013"/>
      <c r="DE32" s="1013"/>
      <c r="DF32" s="1013"/>
      <c r="DG32" s="1013"/>
      <c r="DH32" s="1013"/>
      <c r="DI32" s="1013"/>
      <c r="DJ32" s="1013"/>
      <c r="DK32" s="1013"/>
      <c r="DL32" s="1013"/>
      <c r="DM32" s="1013"/>
      <c r="DN32" s="1013"/>
      <c r="DO32" s="1013"/>
      <c r="DP32" s="1013"/>
      <c r="DQ32" s="1013"/>
      <c r="DR32" s="1013"/>
      <c r="DS32" s="1013"/>
      <c r="DT32" s="1013"/>
      <c r="DU32" s="1013"/>
      <c r="DV32" s="1013"/>
      <c r="DW32" s="1013"/>
      <c r="DX32" s="1013"/>
      <c r="DY32" s="1013"/>
      <c r="DZ32" s="1013"/>
      <c r="EA32" s="1013"/>
      <c r="EB32" s="1013"/>
      <c r="EC32" s="1013"/>
      <c r="ED32" s="1013"/>
      <c r="EE32" s="1013"/>
      <c r="EF32" s="1013"/>
      <c r="EG32" s="1013"/>
      <c r="EH32" s="1013"/>
      <c r="EI32" s="1013"/>
      <c r="EJ32" s="1013"/>
      <c r="EK32" s="1013"/>
      <c r="EL32" s="1013"/>
      <c r="EM32" s="1013"/>
      <c r="EN32" s="1013"/>
      <c r="EO32" s="1013"/>
      <c r="EP32" s="1013"/>
      <c r="EQ32" s="1013"/>
      <c r="ER32" s="1013"/>
      <c r="ES32" s="1013"/>
      <c r="ET32" s="1013"/>
      <c r="EU32" s="1013"/>
      <c r="EV32" s="1013"/>
      <c r="EW32" s="1013"/>
      <c r="EX32" s="1013"/>
      <c r="EY32" s="1013"/>
      <c r="EZ32" s="1013"/>
      <c r="FA32" s="1013"/>
      <c r="FB32" s="1013"/>
      <c r="FC32" s="1013"/>
      <c r="FD32" s="1013"/>
      <c r="FE32" s="1013"/>
      <c r="FF32" s="1013"/>
      <c r="FG32" s="1013"/>
      <c r="FH32" s="1013"/>
      <c r="FI32" s="1013"/>
      <c r="FJ32" s="1013"/>
      <c r="FK32" s="1013"/>
      <c r="FL32" s="1013"/>
      <c r="FM32" s="1013"/>
      <c r="FN32" s="1013"/>
      <c r="FO32" s="1013"/>
      <c r="FP32" s="1013"/>
      <c r="FQ32" s="1013"/>
      <c r="FR32" s="1013"/>
      <c r="FS32" s="1013"/>
      <c r="FT32" s="1013"/>
      <c r="FU32" s="1013"/>
      <c r="FV32" s="1013"/>
      <c r="FW32" s="1013"/>
      <c r="FX32" s="1013"/>
      <c r="FY32" s="1013"/>
      <c r="FZ32" s="1013"/>
      <c r="GA32" s="1013"/>
      <c r="GB32" s="1013"/>
      <c r="GC32" s="1013"/>
      <c r="GD32" s="1013"/>
      <c r="GE32" s="1013"/>
      <c r="GF32" s="1013"/>
      <c r="GG32" s="1013"/>
      <c r="GH32" s="1013"/>
      <c r="GI32" s="1013"/>
      <c r="GJ32" s="1013"/>
      <c r="GK32" s="1013"/>
      <c r="GL32" s="1013"/>
      <c r="GM32" s="1013"/>
      <c r="GN32" s="1013"/>
      <c r="GO32" s="1013"/>
      <c r="GP32" s="1013"/>
      <c r="GQ32" s="1013"/>
      <c r="GR32" s="1013"/>
      <c r="GS32" s="1013"/>
      <c r="GT32" s="1013"/>
      <c r="GU32" s="1013"/>
      <c r="GV32" s="1013"/>
      <c r="GW32" s="1013"/>
      <c r="GX32" s="1013"/>
      <c r="GY32" s="1013"/>
      <c r="GZ32" s="1013"/>
      <c r="HA32" s="1013"/>
    </row>
    <row r="33" spans="1:209" s="1003" customFormat="1" ht="36.75" customHeight="1">
      <c r="A33" s="950">
        <v>3</v>
      </c>
      <c r="B33" s="952" t="s">
        <v>1178</v>
      </c>
      <c r="C33" s="971" t="s">
        <v>716</v>
      </c>
      <c r="D33" s="956" t="s">
        <v>73</v>
      </c>
      <c r="E33" s="959">
        <v>1</v>
      </c>
      <c r="F33" s="958" t="s">
        <v>167</v>
      </c>
      <c r="G33" s="956">
        <v>4.43</v>
      </c>
      <c r="H33" s="957">
        <v>17697</v>
      </c>
      <c r="I33" s="955">
        <v>2</v>
      </c>
      <c r="J33" s="958"/>
      <c r="K33" s="958">
        <f t="shared" si="35"/>
        <v>156795.41999999998</v>
      </c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8"/>
      <c r="X33" s="958"/>
      <c r="Y33" s="958">
        <v>30</v>
      </c>
      <c r="Z33" s="959">
        <f t="shared" si="42"/>
        <v>105</v>
      </c>
      <c r="AA33" s="959">
        <f t="shared" si="36"/>
        <v>164635.19099999999</v>
      </c>
      <c r="AB33" s="959"/>
      <c r="AC33" s="959"/>
      <c r="AD33" s="958">
        <f t="shared" si="37"/>
        <v>15679.541999999999</v>
      </c>
      <c r="AE33" s="958">
        <f t="shared" si="38"/>
        <v>337110.15299999999</v>
      </c>
      <c r="AF33" s="958">
        <f t="shared" si="39"/>
        <v>4045321.8360000001</v>
      </c>
      <c r="AG33" s="958">
        <f t="shared" si="40"/>
        <v>156795.41999999998</v>
      </c>
      <c r="AH33" s="958">
        <f t="shared" si="41"/>
        <v>4202117.2560000001</v>
      </c>
      <c r="AI33" s="1020"/>
      <c r="AJ33" s="1020"/>
      <c r="AK33" s="1021"/>
      <c r="AL33" s="1021"/>
      <c r="AM33" s="1013"/>
      <c r="AN33" s="1013"/>
      <c r="AO33" s="1013"/>
      <c r="AP33" s="1013"/>
      <c r="AQ33" s="1013"/>
      <c r="AR33" s="1013"/>
      <c r="AS33" s="1013"/>
      <c r="AT33" s="1013"/>
      <c r="AU33" s="1013"/>
      <c r="AV33" s="1013"/>
      <c r="AW33" s="1013"/>
      <c r="AX33" s="1013"/>
      <c r="AY33" s="1013"/>
      <c r="AZ33" s="1013"/>
      <c r="BA33" s="1013"/>
      <c r="BB33" s="1013"/>
      <c r="BC33" s="1013"/>
      <c r="BD33" s="1013"/>
      <c r="BE33" s="1013"/>
      <c r="BF33" s="1013"/>
      <c r="BG33" s="1013"/>
      <c r="BH33" s="1013"/>
      <c r="BI33" s="1013"/>
      <c r="BJ33" s="1013"/>
      <c r="BK33" s="1013"/>
      <c r="BL33" s="1013"/>
      <c r="BM33" s="1013"/>
      <c r="BN33" s="1013"/>
      <c r="BO33" s="1013"/>
      <c r="BP33" s="1013"/>
      <c r="BQ33" s="1013"/>
      <c r="BR33" s="1013"/>
      <c r="BS33" s="1013"/>
      <c r="BT33" s="1013"/>
      <c r="BU33" s="1013"/>
      <c r="BV33" s="1013"/>
      <c r="BW33" s="1013"/>
      <c r="BX33" s="1013"/>
      <c r="BY33" s="1013"/>
      <c r="BZ33" s="1013"/>
      <c r="CA33" s="1013"/>
      <c r="CB33" s="1013"/>
      <c r="CC33" s="1013"/>
      <c r="CD33" s="1013"/>
      <c r="CE33" s="1013"/>
      <c r="CF33" s="1013"/>
      <c r="CG33" s="1013"/>
      <c r="CH33" s="1013"/>
      <c r="CI33" s="1013"/>
      <c r="CJ33" s="1013"/>
      <c r="CK33" s="1013"/>
      <c r="CL33" s="1013"/>
      <c r="CM33" s="1013"/>
      <c r="CN33" s="1013"/>
      <c r="CO33" s="1013"/>
      <c r="CP33" s="1013"/>
      <c r="CQ33" s="1013"/>
      <c r="CR33" s="1013"/>
      <c r="CS33" s="1013"/>
      <c r="CT33" s="1013"/>
      <c r="CU33" s="1013"/>
      <c r="CV33" s="1013"/>
      <c r="CW33" s="1013"/>
      <c r="CX33" s="1013"/>
      <c r="CY33" s="1013"/>
      <c r="CZ33" s="1013"/>
      <c r="DA33" s="1013"/>
      <c r="DB33" s="1013"/>
      <c r="DC33" s="1013"/>
      <c r="DD33" s="1013"/>
      <c r="DE33" s="1013"/>
      <c r="DF33" s="1013"/>
      <c r="DG33" s="1013"/>
      <c r="DH33" s="1013"/>
      <c r="DI33" s="1013"/>
      <c r="DJ33" s="1013"/>
      <c r="DK33" s="1013"/>
      <c r="DL33" s="1013"/>
      <c r="DM33" s="1013"/>
      <c r="DN33" s="1013"/>
      <c r="DO33" s="1013"/>
      <c r="DP33" s="1013"/>
      <c r="DQ33" s="1013"/>
      <c r="DR33" s="1013"/>
      <c r="DS33" s="1013"/>
      <c r="DT33" s="1013"/>
      <c r="DU33" s="1013"/>
      <c r="DV33" s="1013"/>
      <c r="DW33" s="1013"/>
      <c r="DX33" s="1013"/>
      <c r="DY33" s="1013"/>
      <c r="DZ33" s="1013"/>
      <c r="EA33" s="1013"/>
      <c r="EB33" s="1013"/>
      <c r="EC33" s="1013"/>
      <c r="ED33" s="1013"/>
      <c r="EE33" s="1013"/>
      <c r="EF33" s="1013"/>
      <c r="EG33" s="1013"/>
      <c r="EH33" s="1013"/>
      <c r="EI33" s="1013"/>
      <c r="EJ33" s="1013"/>
      <c r="EK33" s="1013"/>
      <c r="EL33" s="1013"/>
      <c r="EM33" s="1013"/>
      <c r="EN33" s="1013"/>
      <c r="EO33" s="1013"/>
      <c r="EP33" s="1013"/>
      <c r="EQ33" s="1013"/>
      <c r="ER33" s="1013"/>
      <c r="ES33" s="1013"/>
      <c r="ET33" s="1013"/>
      <c r="EU33" s="1013"/>
      <c r="EV33" s="1013"/>
      <c r="EW33" s="1013"/>
      <c r="EX33" s="1013"/>
      <c r="EY33" s="1013"/>
      <c r="EZ33" s="1013"/>
      <c r="FA33" s="1013"/>
      <c r="FB33" s="1013"/>
      <c r="FC33" s="1013"/>
      <c r="FD33" s="1013"/>
      <c r="FE33" s="1013"/>
      <c r="FF33" s="1013"/>
      <c r="FG33" s="1013"/>
      <c r="FH33" s="1013"/>
      <c r="FI33" s="1013"/>
      <c r="FJ33" s="1013"/>
      <c r="FK33" s="1013"/>
      <c r="FL33" s="1013"/>
      <c r="FM33" s="1013"/>
      <c r="FN33" s="1013"/>
      <c r="FO33" s="1013"/>
      <c r="FP33" s="1013"/>
      <c r="FQ33" s="1013"/>
      <c r="FR33" s="1013"/>
      <c r="FS33" s="1013"/>
      <c r="FT33" s="1013"/>
      <c r="FU33" s="1013"/>
      <c r="FV33" s="1013"/>
      <c r="FW33" s="1013"/>
      <c r="FX33" s="1013"/>
      <c r="FY33" s="1013"/>
      <c r="FZ33" s="1013"/>
      <c r="GA33" s="1013"/>
      <c r="GB33" s="1013"/>
      <c r="GC33" s="1013"/>
      <c r="GD33" s="1013"/>
      <c r="GE33" s="1013"/>
      <c r="GF33" s="1013"/>
      <c r="GG33" s="1013"/>
      <c r="GH33" s="1013"/>
      <c r="GI33" s="1013"/>
      <c r="GJ33" s="1013"/>
      <c r="GK33" s="1013"/>
      <c r="GL33" s="1013"/>
      <c r="GM33" s="1013"/>
      <c r="GN33" s="1013"/>
      <c r="GO33" s="1013"/>
      <c r="GP33" s="1013"/>
      <c r="GQ33" s="1013"/>
      <c r="GR33" s="1013"/>
      <c r="GS33" s="1013"/>
      <c r="GT33" s="1013"/>
      <c r="GU33" s="1013"/>
      <c r="GV33" s="1013"/>
      <c r="GW33" s="1013"/>
      <c r="GX33" s="1013"/>
      <c r="GY33" s="1013"/>
      <c r="GZ33" s="1013"/>
      <c r="HA33" s="1013"/>
    </row>
    <row r="34" spans="1:209" s="1003" customFormat="1" ht="25.5" customHeight="1">
      <c r="A34" s="950">
        <v>4</v>
      </c>
      <c r="B34" s="952" t="s">
        <v>715</v>
      </c>
      <c r="C34" s="952" t="s">
        <v>714</v>
      </c>
      <c r="D34" s="956" t="s">
        <v>73</v>
      </c>
      <c r="E34" s="959">
        <v>1</v>
      </c>
      <c r="F34" s="958" t="s">
        <v>103</v>
      </c>
      <c r="G34" s="956">
        <v>4.6100000000000003</v>
      </c>
      <c r="H34" s="957">
        <v>17697</v>
      </c>
      <c r="I34" s="955">
        <v>2</v>
      </c>
      <c r="J34" s="958"/>
      <c r="K34" s="958">
        <f t="shared" si="35"/>
        <v>163166.34000000003</v>
      </c>
      <c r="L34" s="958"/>
      <c r="M34" s="958"/>
      <c r="N34" s="958"/>
      <c r="O34" s="958"/>
      <c r="P34" s="958"/>
      <c r="Q34" s="958"/>
      <c r="R34" s="958"/>
      <c r="S34" s="958"/>
      <c r="T34" s="958"/>
      <c r="U34" s="958"/>
      <c r="V34" s="958"/>
      <c r="W34" s="958"/>
      <c r="X34" s="958"/>
      <c r="Y34" s="958">
        <v>30</v>
      </c>
      <c r="Z34" s="959">
        <f t="shared" si="42"/>
        <v>105</v>
      </c>
      <c r="AA34" s="959">
        <f t="shared" si="36"/>
        <v>171324.65700000004</v>
      </c>
      <c r="AB34" s="959"/>
      <c r="AC34" s="959"/>
      <c r="AD34" s="958">
        <f t="shared" si="37"/>
        <v>16316.634000000004</v>
      </c>
      <c r="AE34" s="958">
        <f t="shared" si="38"/>
        <v>350807.63100000011</v>
      </c>
      <c r="AF34" s="958">
        <f t="shared" si="39"/>
        <v>4209691.5720000016</v>
      </c>
      <c r="AG34" s="958">
        <f t="shared" si="40"/>
        <v>163166.34000000003</v>
      </c>
      <c r="AH34" s="958">
        <f t="shared" si="41"/>
        <v>4372857.9120000014</v>
      </c>
      <c r="AI34" s="1020"/>
      <c r="AJ34" s="1020"/>
      <c r="AK34" s="1021"/>
      <c r="AL34" s="1021"/>
      <c r="AM34" s="1013"/>
      <c r="AN34" s="1013"/>
      <c r="AO34" s="1013"/>
      <c r="AP34" s="1013"/>
      <c r="AQ34" s="1013"/>
      <c r="AR34" s="1013"/>
      <c r="AS34" s="1013"/>
      <c r="AT34" s="1013"/>
      <c r="AU34" s="1013"/>
      <c r="AV34" s="1013"/>
      <c r="AW34" s="1013"/>
      <c r="AX34" s="1013"/>
      <c r="AY34" s="1013"/>
      <c r="AZ34" s="1013"/>
      <c r="BA34" s="1013"/>
      <c r="BB34" s="1013"/>
      <c r="BC34" s="1013"/>
      <c r="BD34" s="1013"/>
      <c r="BE34" s="1013"/>
      <c r="BF34" s="1013"/>
      <c r="BG34" s="1013"/>
      <c r="BH34" s="1013"/>
      <c r="BI34" s="1013"/>
      <c r="BJ34" s="1013"/>
      <c r="BK34" s="1013"/>
      <c r="BL34" s="1013"/>
      <c r="BM34" s="1013"/>
      <c r="BN34" s="1013"/>
      <c r="BO34" s="1013"/>
      <c r="BP34" s="1013"/>
      <c r="BQ34" s="1013"/>
      <c r="BR34" s="1013"/>
      <c r="BS34" s="1013"/>
      <c r="BT34" s="1013"/>
      <c r="BU34" s="1013"/>
      <c r="BV34" s="1013"/>
      <c r="BW34" s="1013"/>
      <c r="BX34" s="1013"/>
      <c r="BY34" s="1013"/>
      <c r="BZ34" s="1013"/>
      <c r="CA34" s="1013"/>
      <c r="CB34" s="1013"/>
      <c r="CC34" s="1013"/>
      <c r="CD34" s="1013"/>
      <c r="CE34" s="1013"/>
      <c r="CF34" s="1013"/>
      <c r="CG34" s="1013"/>
      <c r="CH34" s="1013"/>
      <c r="CI34" s="1013"/>
      <c r="CJ34" s="1013"/>
      <c r="CK34" s="1013"/>
      <c r="CL34" s="1013"/>
      <c r="CM34" s="1013"/>
      <c r="CN34" s="1013"/>
      <c r="CO34" s="1013"/>
      <c r="CP34" s="1013"/>
      <c r="CQ34" s="1013"/>
      <c r="CR34" s="1013"/>
      <c r="CS34" s="1013"/>
      <c r="CT34" s="1013"/>
      <c r="CU34" s="1013"/>
      <c r="CV34" s="1013"/>
      <c r="CW34" s="1013"/>
      <c r="CX34" s="1013"/>
      <c r="CY34" s="1013"/>
      <c r="CZ34" s="1013"/>
      <c r="DA34" s="1013"/>
      <c r="DB34" s="1013"/>
      <c r="DC34" s="1013"/>
      <c r="DD34" s="1013"/>
      <c r="DE34" s="1013"/>
      <c r="DF34" s="1013"/>
      <c r="DG34" s="1013"/>
      <c r="DH34" s="1013"/>
      <c r="DI34" s="1013"/>
      <c r="DJ34" s="1013"/>
      <c r="DK34" s="1013"/>
      <c r="DL34" s="1013"/>
      <c r="DM34" s="1013"/>
      <c r="DN34" s="1013"/>
      <c r="DO34" s="1013"/>
      <c r="DP34" s="1013"/>
      <c r="DQ34" s="1013"/>
      <c r="DR34" s="1013"/>
      <c r="DS34" s="1013"/>
      <c r="DT34" s="1013"/>
      <c r="DU34" s="1013"/>
      <c r="DV34" s="1013"/>
      <c r="DW34" s="1013"/>
      <c r="DX34" s="1013"/>
      <c r="DY34" s="1013"/>
      <c r="DZ34" s="1013"/>
      <c r="EA34" s="1013"/>
      <c r="EB34" s="1013"/>
      <c r="EC34" s="1013"/>
      <c r="ED34" s="1013"/>
      <c r="EE34" s="1013"/>
      <c r="EF34" s="1013"/>
      <c r="EG34" s="1013"/>
      <c r="EH34" s="1013"/>
      <c r="EI34" s="1013"/>
      <c r="EJ34" s="1013"/>
      <c r="EK34" s="1013"/>
      <c r="EL34" s="1013"/>
      <c r="EM34" s="1013"/>
      <c r="EN34" s="1013"/>
      <c r="EO34" s="1013"/>
      <c r="EP34" s="1013"/>
      <c r="EQ34" s="1013"/>
      <c r="ER34" s="1013"/>
      <c r="ES34" s="1013"/>
      <c r="ET34" s="1013"/>
      <c r="EU34" s="1013"/>
      <c r="EV34" s="1013"/>
      <c r="EW34" s="1013"/>
      <c r="EX34" s="1013"/>
      <c r="EY34" s="1013"/>
      <c r="EZ34" s="1013"/>
      <c r="FA34" s="1013"/>
      <c r="FB34" s="1013"/>
      <c r="FC34" s="1013"/>
      <c r="FD34" s="1013"/>
      <c r="FE34" s="1013"/>
      <c r="FF34" s="1013"/>
      <c r="FG34" s="1013"/>
      <c r="FH34" s="1013"/>
      <c r="FI34" s="1013"/>
      <c r="FJ34" s="1013"/>
      <c r="FK34" s="1013"/>
      <c r="FL34" s="1013"/>
      <c r="FM34" s="1013"/>
      <c r="FN34" s="1013"/>
      <c r="FO34" s="1013"/>
      <c r="FP34" s="1013"/>
      <c r="FQ34" s="1013"/>
      <c r="FR34" s="1013"/>
      <c r="FS34" s="1013"/>
      <c r="FT34" s="1013"/>
      <c r="FU34" s="1013"/>
      <c r="FV34" s="1013"/>
      <c r="FW34" s="1013"/>
      <c r="FX34" s="1013"/>
      <c r="FY34" s="1013"/>
      <c r="FZ34" s="1013"/>
      <c r="GA34" s="1013"/>
      <c r="GB34" s="1013"/>
      <c r="GC34" s="1013"/>
      <c r="GD34" s="1013"/>
      <c r="GE34" s="1013"/>
      <c r="GF34" s="1013"/>
      <c r="GG34" s="1013"/>
      <c r="GH34" s="1013"/>
      <c r="GI34" s="1013"/>
      <c r="GJ34" s="1013"/>
      <c r="GK34" s="1013"/>
      <c r="GL34" s="1013"/>
      <c r="GM34" s="1013"/>
      <c r="GN34" s="1013"/>
      <c r="GO34" s="1013"/>
      <c r="GP34" s="1013"/>
      <c r="GQ34" s="1013"/>
      <c r="GR34" s="1013"/>
      <c r="GS34" s="1013"/>
      <c r="GT34" s="1013"/>
      <c r="GU34" s="1013"/>
      <c r="GV34" s="1013"/>
      <c r="GW34" s="1013"/>
      <c r="GX34" s="1013"/>
      <c r="GY34" s="1013"/>
      <c r="GZ34" s="1013"/>
      <c r="HA34" s="1013"/>
    </row>
    <row r="35" spans="1:209" s="1015" customFormat="1" ht="23.25" customHeight="1">
      <c r="A35" s="950"/>
      <c r="B35" s="964" t="s">
        <v>627</v>
      </c>
      <c r="C35" s="952"/>
      <c r="D35" s="956"/>
      <c r="E35" s="961">
        <f>SUM(E31:E34)</f>
        <v>4</v>
      </c>
      <c r="F35" s="960"/>
      <c r="G35" s="956"/>
      <c r="H35" s="958"/>
      <c r="I35" s="955"/>
      <c r="J35" s="958"/>
      <c r="K35" s="1037">
        <f>SUM(K31:K34)</f>
        <v>674963.58000000007</v>
      </c>
      <c r="L35" s="1038" t="e">
        <f>SUM(#REF!)</f>
        <v>#REF!</v>
      </c>
      <c r="M35" s="1038" t="e">
        <f>SUM(#REF!)</f>
        <v>#REF!</v>
      </c>
      <c r="N35" s="1038">
        <f t="shared" ref="N35:O35" si="43">SUM(N31:N34)</f>
        <v>0</v>
      </c>
      <c r="O35" s="1038">
        <f t="shared" si="43"/>
        <v>0</v>
      </c>
      <c r="P35" s="1038"/>
      <c r="Q35" s="1038">
        <f t="shared" ref="Q35" si="44">SUM(Q31:Q34)</f>
        <v>0</v>
      </c>
      <c r="R35" s="1038"/>
      <c r="S35" s="1038">
        <f t="shared" ref="S35" si="45">SUM(S31:S34)</f>
        <v>0</v>
      </c>
      <c r="T35" s="1038"/>
      <c r="U35" s="1038">
        <f t="shared" ref="U35" si="46">SUM(U31:U34)</f>
        <v>0</v>
      </c>
      <c r="V35" s="1038"/>
      <c r="W35" s="1038">
        <f t="shared" ref="W35:X35" si="47">SUM(W31:W34)</f>
        <v>0</v>
      </c>
      <c r="X35" s="1038">
        <f t="shared" si="47"/>
        <v>0</v>
      </c>
      <c r="Y35" s="1038"/>
      <c r="Z35" s="1038"/>
      <c r="AA35" s="1037">
        <f>SUM(AA31:AA34)</f>
        <v>1067960.8589999999</v>
      </c>
      <c r="AB35" s="1038"/>
      <c r="AC35" s="1038">
        <f t="shared" ref="AC35:AH35" si="48">SUM(AC31:AC34)</f>
        <v>0</v>
      </c>
      <c r="AD35" s="1037">
        <f t="shared" si="48"/>
        <v>67496.358000000007</v>
      </c>
      <c r="AE35" s="961">
        <f t="shared" si="48"/>
        <v>1810420.797</v>
      </c>
      <c r="AF35" s="961">
        <f t="shared" si="48"/>
        <v>21725049.563999999</v>
      </c>
      <c r="AG35" s="961">
        <f t="shared" si="48"/>
        <v>674963.58000000007</v>
      </c>
      <c r="AH35" s="961">
        <f t="shared" si="48"/>
        <v>22400013.144000001</v>
      </c>
      <c r="AI35" s="1020"/>
      <c r="AJ35" s="1020"/>
      <c r="AK35" s="1021"/>
      <c r="AL35" s="1021"/>
      <c r="AM35" s="1013"/>
      <c r="AN35" s="1013"/>
      <c r="AO35" s="1013"/>
      <c r="AP35" s="1013"/>
      <c r="AQ35" s="1013"/>
      <c r="AR35" s="1013"/>
      <c r="AS35" s="1013"/>
      <c r="AT35" s="1013"/>
      <c r="AU35" s="1013"/>
      <c r="AV35" s="1013"/>
      <c r="AW35" s="1013"/>
      <c r="AX35" s="1013"/>
      <c r="AY35" s="1013"/>
      <c r="AZ35" s="1013"/>
      <c r="BA35" s="1013"/>
      <c r="BB35" s="1013"/>
      <c r="BC35" s="1013"/>
      <c r="BD35" s="1013"/>
      <c r="BE35" s="1013"/>
      <c r="BF35" s="1013"/>
      <c r="BG35" s="1013"/>
      <c r="BH35" s="1013"/>
      <c r="BI35" s="1013"/>
      <c r="BJ35" s="1013"/>
      <c r="BK35" s="1013"/>
      <c r="BL35" s="1013"/>
      <c r="BM35" s="1013"/>
      <c r="BN35" s="1013"/>
      <c r="BO35" s="1013"/>
      <c r="BP35" s="1013"/>
      <c r="BQ35" s="1013"/>
      <c r="BR35" s="1013"/>
      <c r="BS35" s="1013"/>
      <c r="BT35" s="1013"/>
      <c r="BU35" s="1013"/>
      <c r="BV35" s="1013"/>
      <c r="BW35" s="1013"/>
      <c r="BX35" s="1013"/>
      <c r="BY35" s="1013"/>
      <c r="BZ35" s="1013"/>
      <c r="CA35" s="1013"/>
      <c r="CB35" s="1013"/>
      <c r="CC35" s="1013"/>
      <c r="CD35" s="1013"/>
      <c r="CE35" s="1013"/>
      <c r="CF35" s="1013"/>
      <c r="CG35" s="1013"/>
      <c r="CH35" s="1013"/>
      <c r="CI35" s="1013"/>
      <c r="CJ35" s="1013"/>
      <c r="CK35" s="1013"/>
      <c r="CL35" s="1013"/>
      <c r="CM35" s="1013"/>
      <c r="CN35" s="1013"/>
      <c r="CO35" s="1013"/>
      <c r="CP35" s="1013"/>
      <c r="CQ35" s="1013"/>
      <c r="CR35" s="1013"/>
      <c r="CS35" s="1013"/>
      <c r="CT35" s="1013"/>
      <c r="CU35" s="1013"/>
      <c r="CV35" s="1013"/>
      <c r="CW35" s="1013"/>
      <c r="CX35" s="1013"/>
      <c r="CY35" s="1013"/>
      <c r="CZ35" s="1013"/>
      <c r="DA35" s="1013"/>
      <c r="DB35" s="1013"/>
      <c r="DC35" s="1013"/>
      <c r="DD35" s="1013"/>
      <c r="DE35" s="1013"/>
      <c r="DF35" s="1013"/>
      <c r="DG35" s="1013"/>
      <c r="DH35" s="1013"/>
      <c r="DI35" s="1013"/>
      <c r="DJ35" s="1013"/>
      <c r="DK35" s="1013"/>
      <c r="DL35" s="1013"/>
      <c r="DM35" s="1013"/>
      <c r="DN35" s="1013"/>
      <c r="DO35" s="1013"/>
      <c r="DP35" s="1013"/>
      <c r="DQ35" s="1013"/>
      <c r="DR35" s="1013"/>
      <c r="DS35" s="1013"/>
      <c r="DT35" s="1013"/>
      <c r="DU35" s="1013"/>
      <c r="DV35" s="1013"/>
      <c r="DW35" s="1013"/>
      <c r="DX35" s="1013"/>
      <c r="DY35" s="1013"/>
      <c r="DZ35" s="1013"/>
      <c r="EA35" s="1013"/>
      <c r="EB35" s="1013"/>
      <c r="EC35" s="1013"/>
      <c r="ED35" s="1013"/>
      <c r="EE35" s="1013"/>
      <c r="EF35" s="1013"/>
      <c r="EG35" s="1013"/>
      <c r="EH35" s="1013"/>
      <c r="EI35" s="1013"/>
      <c r="EJ35" s="1013"/>
      <c r="EK35" s="1013"/>
      <c r="EL35" s="1013"/>
      <c r="EM35" s="1013"/>
      <c r="EN35" s="1013"/>
      <c r="EO35" s="1013"/>
      <c r="EP35" s="1013"/>
      <c r="EQ35" s="1013"/>
      <c r="ER35" s="1013"/>
      <c r="ES35" s="1013"/>
      <c r="ET35" s="1013"/>
      <c r="EU35" s="1013"/>
      <c r="EV35" s="1013"/>
      <c r="EW35" s="1013"/>
      <c r="EX35" s="1013"/>
      <c r="EY35" s="1013"/>
      <c r="EZ35" s="1013"/>
      <c r="FA35" s="1013"/>
      <c r="FB35" s="1013"/>
      <c r="FC35" s="1013"/>
      <c r="FD35" s="1013"/>
      <c r="FE35" s="1013"/>
      <c r="FF35" s="1013"/>
      <c r="FG35" s="1013"/>
      <c r="FH35" s="1013"/>
      <c r="FI35" s="1013"/>
      <c r="FJ35" s="1013"/>
      <c r="FK35" s="1013"/>
      <c r="FL35" s="1013"/>
      <c r="FM35" s="1013"/>
      <c r="FN35" s="1013"/>
      <c r="FO35" s="1013"/>
      <c r="FP35" s="1013"/>
      <c r="FQ35" s="1013"/>
      <c r="FR35" s="1013"/>
      <c r="FS35" s="1013"/>
      <c r="FT35" s="1013"/>
      <c r="FU35" s="1013"/>
      <c r="FV35" s="1013"/>
      <c r="FW35" s="1013"/>
      <c r="FX35" s="1013"/>
      <c r="FY35" s="1013"/>
      <c r="FZ35" s="1013"/>
      <c r="GA35" s="1013"/>
      <c r="GB35" s="1013"/>
      <c r="GC35" s="1013"/>
      <c r="GD35" s="1013"/>
      <c r="GE35" s="1013"/>
      <c r="GF35" s="1013"/>
      <c r="GG35" s="1013"/>
      <c r="GH35" s="1013"/>
      <c r="GI35" s="1013"/>
      <c r="GJ35" s="1013"/>
      <c r="GK35" s="1013"/>
      <c r="GL35" s="1013"/>
      <c r="GM35" s="1013"/>
      <c r="GN35" s="1013"/>
      <c r="GO35" s="1013"/>
      <c r="GP35" s="1013"/>
      <c r="GQ35" s="1013"/>
      <c r="GR35" s="1013"/>
      <c r="GS35" s="1013"/>
      <c r="GT35" s="1013"/>
      <c r="GU35" s="1013"/>
      <c r="GV35" s="1013"/>
      <c r="GW35" s="1013"/>
      <c r="GX35" s="1013"/>
      <c r="GY35" s="1013"/>
      <c r="GZ35" s="1013"/>
      <c r="HA35" s="1013"/>
    </row>
    <row r="36" spans="1:209" s="1003" customFormat="1" ht="21" customHeight="1">
      <c r="A36" s="950"/>
      <c r="B36" s="952"/>
      <c r="C36" s="964"/>
      <c r="D36" s="963"/>
      <c r="E36" s="950"/>
      <c r="F36" s="963"/>
      <c r="G36" s="963"/>
      <c r="H36" s="950"/>
      <c r="I36" s="950"/>
      <c r="J36" s="963"/>
      <c r="K36" s="963"/>
      <c r="L36" s="963"/>
      <c r="M36" s="963"/>
      <c r="N36" s="963"/>
      <c r="O36" s="963"/>
      <c r="P36" s="963"/>
      <c r="Q36" s="966" t="s">
        <v>1179</v>
      </c>
      <c r="R36" s="963"/>
      <c r="S36" s="963"/>
      <c r="T36" s="963"/>
      <c r="U36" s="963"/>
      <c r="V36" s="963"/>
      <c r="W36" s="963"/>
      <c r="X36" s="963"/>
      <c r="Y36" s="963"/>
      <c r="Z36" s="963"/>
      <c r="AA36" s="963"/>
      <c r="AB36" s="963"/>
      <c r="AC36" s="963"/>
      <c r="AD36" s="963"/>
      <c r="AE36" s="963"/>
      <c r="AF36" s="963"/>
      <c r="AG36" s="963"/>
      <c r="AH36" s="963"/>
      <c r="AI36" s="1013"/>
      <c r="AJ36" s="1013"/>
      <c r="AK36" s="1021"/>
      <c r="AL36" s="1021"/>
    </row>
    <row r="37" spans="1:209" s="1003" customFormat="1" ht="42" customHeight="1">
      <c r="A37" s="950">
        <v>1</v>
      </c>
      <c r="B37" s="952" t="s">
        <v>681</v>
      </c>
      <c r="C37" s="952" t="s">
        <v>682</v>
      </c>
      <c r="D37" s="950" t="s">
        <v>153</v>
      </c>
      <c r="E37" s="950">
        <v>1</v>
      </c>
      <c r="F37" s="960" t="s">
        <v>685</v>
      </c>
      <c r="G37" s="956">
        <v>5.8</v>
      </c>
      <c r="H37" s="958">
        <v>17697</v>
      </c>
      <c r="I37" s="955">
        <v>2</v>
      </c>
      <c r="J37" s="963"/>
      <c r="K37" s="958">
        <f t="shared" ref="K37:K39" si="49">H37*G37*E37*I37</f>
        <v>205285.19999999998</v>
      </c>
      <c r="L37" s="963"/>
      <c r="M37" s="963"/>
      <c r="N37" s="963"/>
      <c r="O37" s="963"/>
      <c r="P37" s="963"/>
      <c r="Q37" s="966"/>
      <c r="R37" s="963"/>
      <c r="S37" s="963"/>
      <c r="T37" s="963"/>
      <c r="U37" s="963"/>
      <c r="V37" s="963"/>
      <c r="W37" s="963"/>
      <c r="X37" s="963"/>
      <c r="Y37" s="958">
        <v>80</v>
      </c>
      <c r="Z37" s="959">
        <f>Y37*350%</f>
        <v>280</v>
      </c>
      <c r="AA37" s="959">
        <f t="shared" ref="AA37:AA39" si="50">K37*Z37%</f>
        <v>574798.55999999994</v>
      </c>
      <c r="AB37" s="963"/>
      <c r="AC37" s="963"/>
      <c r="AD37" s="958">
        <f t="shared" ref="AD37:AD39" si="51">K37*0.1</f>
        <v>20528.52</v>
      </c>
      <c r="AE37" s="958">
        <f t="shared" ref="AE37:AE39" si="52">K37+N37+O37+Q37+S37+U37+W37+X37+AA37+AD37+AC37</f>
        <v>800612.27999999991</v>
      </c>
      <c r="AF37" s="958">
        <f>AE37*12</f>
        <v>9607347.3599999994</v>
      </c>
      <c r="AG37" s="958">
        <f>K37</f>
        <v>205285.19999999998</v>
      </c>
      <c r="AH37" s="958">
        <f>AE37*12+AG37</f>
        <v>9812632.5599999987</v>
      </c>
      <c r="AI37" s="1013"/>
      <c r="AJ37" s="1013"/>
      <c r="AK37" s="1021"/>
      <c r="AL37" s="1021"/>
    </row>
    <row r="38" spans="1:209" s="1003" customFormat="1" ht="23.25" customHeight="1">
      <c r="A38" s="950">
        <v>2</v>
      </c>
      <c r="B38" s="952" t="s">
        <v>683</v>
      </c>
      <c r="C38" s="971" t="s">
        <v>684</v>
      </c>
      <c r="D38" s="956" t="s">
        <v>73</v>
      </c>
      <c r="E38" s="959">
        <v>1</v>
      </c>
      <c r="F38" s="958" t="s">
        <v>817</v>
      </c>
      <c r="G38" s="956">
        <v>4.0999999999999996</v>
      </c>
      <c r="H38" s="958">
        <v>17697</v>
      </c>
      <c r="I38" s="955">
        <v>2</v>
      </c>
      <c r="J38" s="958"/>
      <c r="K38" s="958">
        <f t="shared" si="49"/>
        <v>145115.4</v>
      </c>
      <c r="L38" s="958"/>
      <c r="M38" s="958"/>
      <c r="N38" s="958"/>
      <c r="O38" s="958"/>
      <c r="P38" s="958"/>
      <c r="Q38" s="958"/>
      <c r="R38" s="958"/>
      <c r="S38" s="958"/>
      <c r="T38" s="958"/>
      <c r="U38" s="958"/>
      <c r="V38" s="958"/>
      <c r="W38" s="958"/>
      <c r="X38" s="958"/>
      <c r="Y38" s="958">
        <v>80</v>
      </c>
      <c r="Z38" s="959">
        <f t="shared" ref="Z38:Z39" si="53">Y38*350%</f>
        <v>280</v>
      </c>
      <c r="AA38" s="959">
        <f t="shared" si="50"/>
        <v>406323.11999999994</v>
      </c>
      <c r="AB38" s="959"/>
      <c r="AC38" s="959"/>
      <c r="AD38" s="958">
        <f t="shared" si="51"/>
        <v>14511.54</v>
      </c>
      <c r="AE38" s="958">
        <f t="shared" si="52"/>
        <v>565950.05999999994</v>
      </c>
      <c r="AF38" s="958">
        <f>AE38*12</f>
        <v>6791400.7199999988</v>
      </c>
      <c r="AG38" s="958">
        <f>K38</f>
        <v>145115.4</v>
      </c>
      <c r="AH38" s="958">
        <f>AE38*12+AG38</f>
        <v>6936516.1199999992</v>
      </c>
      <c r="AI38" s="1020">
        <v>6181916.04</v>
      </c>
      <c r="AJ38" s="1020">
        <f>AF38-AI38</f>
        <v>609484.67999999877</v>
      </c>
      <c r="AK38" s="1021"/>
      <c r="AL38" s="1021"/>
    </row>
    <row r="39" spans="1:209" s="1003" customFormat="1" ht="19.5" customHeight="1">
      <c r="A39" s="950">
        <v>3</v>
      </c>
      <c r="B39" s="952" t="s">
        <v>686</v>
      </c>
      <c r="C39" s="952" t="s">
        <v>687</v>
      </c>
      <c r="D39" s="956" t="s">
        <v>73</v>
      </c>
      <c r="E39" s="959">
        <v>1</v>
      </c>
      <c r="F39" s="958" t="s">
        <v>583</v>
      </c>
      <c r="G39" s="956">
        <v>4.1900000000000004</v>
      </c>
      <c r="H39" s="958">
        <v>17697</v>
      </c>
      <c r="I39" s="955">
        <v>2</v>
      </c>
      <c r="J39" s="958"/>
      <c r="K39" s="958">
        <f t="shared" si="49"/>
        <v>148300.86000000002</v>
      </c>
      <c r="L39" s="958"/>
      <c r="M39" s="958"/>
      <c r="N39" s="958"/>
      <c r="O39" s="958"/>
      <c r="P39" s="958"/>
      <c r="Q39" s="958"/>
      <c r="R39" s="958"/>
      <c r="S39" s="958"/>
      <c r="T39" s="958"/>
      <c r="U39" s="958"/>
      <c r="V39" s="958"/>
      <c r="W39" s="958"/>
      <c r="X39" s="958"/>
      <c r="Y39" s="958">
        <v>80</v>
      </c>
      <c r="Z39" s="959">
        <f t="shared" si="53"/>
        <v>280</v>
      </c>
      <c r="AA39" s="959">
        <f t="shared" si="50"/>
        <v>415242.408</v>
      </c>
      <c r="AB39" s="959"/>
      <c r="AC39" s="959"/>
      <c r="AD39" s="958">
        <f t="shared" si="51"/>
        <v>14830.086000000003</v>
      </c>
      <c r="AE39" s="958">
        <f t="shared" si="52"/>
        <v>578373.35400000005</v>
      </c>
      <c r="AF39" s="958">
        <f>AE39*12</f>
        <v>6940480.2480000006</v>
      </c>
      <c r="AG39" s="958">
        <f>K39</f>
        <v>148300.86000000002</v>
      </c>
      <c r="AH39" s="958">
        <f>AE39*12+AG39</f>
        <v>7088781.1080000009</v>
      </c>
      <c r="AI39" s="1020">
        <v>6317616.6360000009</v>
      </c>
      <c r="AJ39" s="1020">
        <f>AF39-AI39</f>
        <v>622863.61199999973</v>
      </c>
      <c r="AK39" s="1021"/>
      <c r="AL39" s="1021"/>
    </row>
    <row r="40" spans="1:209" s="1015" customFormat="1" ht="23.25" customHeight="1">
      <c r="A40" s="950"/>
      <c r="B40" s="964" t="s">
        <v>627</v>
      </c>
      <c r="C40" s="952"/>
      <c r="D40" s="956"/>
      <c r="E40" s="961">
        <f>SUM(E37:E39)</f>
        <v>3</v>
      </c>
      <c r="F40" s="960"/>
      <c r="G40" s="956"/>
      <c r="H40" s="958"/>
      <c r="I40" s="955"/>
      <c r="J40" s="958"/>
      <c r="K40" s="961">
        <f>SUM(K37:K39)</f>
        <v>498701.45999999996</v>
      </c>
      <c r="L40" s="961" t="e">
        <f>SUM(#REF!)</f>
        <v>#REF!</v>
      </c>
      <c r="M40" s="961" t="e">
        <f>SUM(#REF!)</f>
        <v>#REF!</v>
      </c>
      <c r="N40" s="961">
        <f t="shared" ref="N40:AH40" si="54">SUM(N37:N39)</f>
        <v>0</v>
      </c>
      <c r="O40" s="961">
        <f t="shared" si="54"/>
        <v>0</v>
      </c>
      <c r="P40" s="961"/>
      <c r="Q40" s="961">
        <f t="shared" si="54"/>
        <v>0</v>
      </c>
      <c r="R40" s="961"/>
      <c r="S40" s="961">
        <f t="shared" si="54"/>
        <v>0</v>
      </c>
      <c r="T40" s="961"/>
      <c r="U40" s="961">
        <f t="shared" si="54"/>
        <v>0</v>
      </c>
      <c r="V40" s="961"/>
      <c r="W40" s="961">
        <f t="shared" si="54"/>
        <v>0</v>
      </c>
      <c r="X40" s="961">
        <f t="shared" si="54"/>
        <v>0</v>
      </c>
      <c r="Y40" s="961"/>
      <c r="Z40" s="961"/>
      <c r="AA40" s="961">
        <f>SUM(AA37:AA39)</f>
        <v>1396364.088</v>
      </c>
      <c r="AB40" s="961"/>
      <c r="AC40" s="961">
        <f t="shared" si="54"/>
        <v>0</v>
      </c>
      <c r="AD40" s="961">
        <f t="shared" si="54"/>
        <v>49870.146000000001</v>
      </c>
      <c r="AE40" s="961">
        <f t="shared" si="54"/>
        <v>1944935.6939999999</v>
      </c>
      <c r="AF40" s="961">
        <f t="shared" si="54"/>
        <v>23339228.327999998</v>
      </c>
      <c r="AG40" s="961">
        <f t="shared" si="54"/>
        <v>498701.45999999996</v>
      </c>
      <c r="AH40" s="961">
        <f t="shared" si="54"/>
        <v>23837929.787999999</v>
      </c>
      <c r="AI40" s="1020"/>
      <c r="AJ40" s="1020"/>
      <c r="AK40" s="1021"/>
      <c r="AL40" s="1021"/>
      <c r="AM40" s="1013"/>
      <c r="AN40" s="1013"/>
      <c r="AO40" s="1013"/>
      <c r="AP40" s="1013"/>
      <c r="AQ40" s="1013"/>
      <c r="AR40" s="1013"/>
      <c r="AS40" s="1013"/>
      <c r="AT40" s="1013"/>
      <c r="AU40" s="1013"/>
      <c r="AV40" s="1013"/>
      <c r="AW40" s="1013"/>
      <c r="AX40" s="1013"/>
      <c r="AY40" s="1013"/>
      <c r="AZ40" s="1013"/>
      <c r="BA40" s="1013"/>
      <c r="BB40" s="1013"/>
      <c r="BC40" s="1013"/>
      <c r="BD40" s="1013"/>
      <c r="BE40" s="1013"/>
      <c r="BF40" s="1013"/>
      <c r="BG40" s="1013"/>
      <c r="BH40" s="1013"/>
      <c r="BI40" s="1013"/>
      <c r="BJ40" s="1013"/>
      <c r="BK40" s="1013"/>
      <c r="BL40" s="1013"/>
      <c r="BM40" s="1013"/>
      <c r="BN40" s="1013"/>
      <c r="BO40" s="1013"/>
      <c r="BP40" s="1013"/>
      <c r="BQ40" s="1013"/>
      <c r="BR40" s="1013"/>
      <c r="BS40" s="1013"/>
      <c r="BT40" s="1013"/>
      <c r="BU40" s="1013"/>
      <c r="BV40" s="1013"/>
      <c r="BW40" s="1013"/>
      <c r="BX40" s="1013"/>
      <c r="BY40" s="1013"/>
      <c r="BZ40" s="1013"/>
      <c r="CA40" s="1013"/>
      <c r="CB40" s="1013"/>
      <c r="CC40" s="1013"/>
      <c r="CD40" s="1013"/>
      <c r="CE40" s="1013"/>
      <c r="CF40" s="1013"/>
      <c r="CG40" s="1013"/>
      <c r="CH40" s="1013"/>
      <c r="CI40" s="1013"/>
      <c r="CJ40" s="1013"/>
      <c r="CK40" s="1013"/>
      <c r="CL40" s="1013"/>
      <c r="CM40" s="1013"/>
      <c r="CN40" s="1013"/>
      <c r="CO40" s="1013"/>
      <c r="CP40" s="1013"/>
      <c r="CQ40" s="1013"/>
      <c r="CR40" s="1013"/>
      <c r="CS40" s="1013"/>
      <c r="CT40" s="1013"/>
      <c r="CU40" s="1013"/>
      <c r="CV40" s="1013"/>
      <c r="CW40" s="1013"/>
      <c r="CX40" s="1013"/>
      <c r="CY40" s="1013"/>
      <c r="CZ40" s="1013"/>
      <c r="DA40" s="1013"/>
      <c r="DB40" s="1013"/>
      <c r="DC40" s="1013"/>
      <c r="DD40" s="1013"/>
      <c r="DE40" s="1013"/>
      <c r="DF40" s="1013"/>
      <c r="DG40" s="1013"/>
      <c r="DH40" s="1013"/>
      <c r="DI40" s="1013"/>
      <c r="DJ40" s="1013"/>
      <c r="DK40" s="1013"/>
      <c r="DL40" s="1013"/>
      <c r="DM40" s="1013"/>
      <c r="DN40" s="1013"/>
      <c r="DO40" s="1013"/>
      <c r="DP40" s="1013"/>
      <c r="DQ40" s="1013"/>
      <c r="DR40" s="1013"/>
      <c r="DS40" s="1013"/>
      <c r="DT40" s="1013"/>
      <c r="DU40" s="1013"/>
      <c r="DV40" s="1013"/>
      <c r="DW40" s="1013"/>
      <c r="DX40" s="1013"/>
      <c r="DY40" s="1013"/>
      <c r="DZ40" s="1013"/>
      <c r="EA40" s="1013"/>
      <c r="EB40" s="1013"/>
      <c r="EC40" s="1013"/>
      <c r="ED40" s="1013"/>
      <c r="EE40" s="1013"/>
      <c r="EF40" s="1013"/>
      <c r="EG40" s="1013"/>
      <c r="EH40" s="1013"/>
      <c r="EI40" s="1013"/>
      <c r="EJ40" s="1013"/>
      <c r="EK40" s="1013"/>
      <c r="EL40" s="1013"/>
      <c r="EM40" s="1013"/>
      <c r="EN40" s="1013"/>
      <c r="EO40" s="1013"/>
      <c r="EP40" s="1013"/>
      <c r="EQ40" s="1013"/>
      <c r="ER40" s="1013"/>
      <c r="ES40" s="1013"/>
      <c r="ET40" s="1013"/>
      <c r="EU40" s="1013"/>
      <c r="EV40" s="1013"/>
      <c r="EW40" s="1013"/>
      <c r="EX40" s="1013"/>
      <c r="EY40" s="1013"/>
      <c r="EZ40" s="1013"/>
      <c r="FA40" s="1013"/>
      <c r="FB40" s="1013"/>
      <c r="FC40" s="1013"/>
      <c r="FD40" s="1013"/>
      <c r="FE40" s="1013"/>
      <c r="FF40" s="1013"/>
      <c r="FG40" s="1013"/>
      <c r="FH40" s="1013"/>
      <c r="FI40" s="1013"/>
      <c r="FJ40" s="1013"/>
      <c r="FK40" s="1013"/>
      <c r="FL40" s="1013"/>
      <c r="FM40" s="1013"/>
      <c r="FN40" s="1013"/>
      <c r="FO40" s="1013"/>
      <c r="FP40" s="1013"/>
      <c r="FQ40" s="1013"/>
      <c r="FR40" s="1013"/>
      <c r="FS40" s="1013"/>
      <c r="FT40" s="1013"/>
      <c r="FU40" s="1013"/>
      <c r="FV40" s="1013"/>
      <c r="FW40" s="1013"/>
      <c r="FX40" s="1013"/>
      <c r="FY40" s="1013"/>
      <c r="FZ40" s="1013"/>
      <c r="GA40" s="1013"/>
      <c r="GB40" s="1013"/>
      <c r="GC40" s="1013"/>
      <c r="GD40" s="1013"/>
      <c r="GE40" s="1013"/>
      <c r="GF40" s="1013"/>
      <c r="GG40" s="1013"/>
      <c r="GH40" s="1013"/>
      <c r="GI40" s="1013"/>
      <c r="GJ40" s="1013"/>
      <c r="GK40" s="1013"/>
      <c r="GL40" s="1013"/>
      <c r="GM40" s="1013"/>
      <c r="GN40" s="1013"/>
      <c r="GO40" s="1013"/>
      <c r="GP40" s="1013"/>
      <c r="GQ40" s="1013"/>
      <c r="GR40" s="1013"/>
      <c r="GS40" s="1013"/>
      <c r="GT40" s="1013"/>
      <c r="GU40" s="1013"/>
      <c r="GV40" s="1013"/>
      <c r="GW40" s="1013"/>
      <c r="GX40" s="1013"/>
      <c r="GY40" s="1013"/>
      <c r="GZ40" s="1013"/>
      <c r="HA40" s="1013"/>
    </row>
    <row r="41" spans="1:209" s="1003" customFormat="1" ht="30.75" customHeight="1">
      <c r="A41" s="950"/>
      <c r="B41" s="952"/>
      <c r="C41" s="964"/>
      <c r="D41" s="963"/>
      <c r="E41" s="950"/>
      <c r="F41" s="963"/>
      <c r="G41" s="963"/>
      <c r="H41" s="950"/>
      <c r="I41" s="950"/>
      <c r="J41" s="963"/>
      <c r="K41" s="963"/>
      <c r="L41" s="963"/>
      <c r="M41" s="963"/>
      <c r="N41" s="963"/>
      <c r="O41" s="963"/>
      <c r="P41" s="963"/>
      <c r="Q41" s="966" t="s">
        <v>1180</v>
      </c>
      <c r="R41" s="963"/>
      <c r="S41" s="963"/>
      <c r="T41" s="963"/>
      <c r="U41" s="963"/>
      <c r="V41" s="963"/>
      <c r="W41" s="963"/>
      <c r="X41" s="963"/>
      <c r="Y41" s="963"/>
      <c r="Z41" s="963"/>
      <c r="AA41" s="963"/>
      <c r="AB41" s="963"/>
      <c r="AC41" s="963"/>
      <c r="AD41" s="963"/>
      <c r="AE41" s="963"/>
      <c r="AF41" s="963"/>
      <c r="AG41" s="963"/>
      <c r="AH41" s="963"/>
      <c r="AI41" s="1013"/>
      <c r="AJ41" s="1013"/>
      <c r="AK41" s="1021"/>
      <c r="AL41" s="1021"/>
    </row>
    <row r="42" spans="1:209" s="1003" customFormat="1" ht="49.5" customHeight="1">
      <c r="A42" s="950">
        <v>1</v>
      </c>
      <c r="B42" s="952" t="s">
        <v>688</v>
      </c>
      <c r="C42" s="971" t="s">
        <v>689</v>
      </c>
      <c r="D42" s="950" t="s">
        <v>153</v>
      </c>
      <c r="E42" s="950">
        <v>1</v>
      </c>
      <c r="F42" s="960" t="s">
        <v>1181</v>
      </c>
      <c r="G42" s="956">
        <v>5.64</v>
      </c>
      <c r="H42" s="958">
        <v>17697</v>
      </c>
      <c r="I42" s="955">
        <v>2</v>
      </c>
      <c r="J42" s="963"/>
      <c r="K42" s="958">
        <f t="shared" ref="K42:K47" si="55">H42*G42*E42*I42</f>
        <v>199622.15999999997</v>
      </c>
      <c r="L42" s="963"/>
      <c r="M42" s="963"/>
      <c r="N42" s="963"/>
      <c r="O42" s="963"/>
      <c r="P42" s="963"/>
      <c r="Q42" s="966"/>
      <c r="R42" s="963"/>
      <c r="S42" s="963"/>
      <c r="T42" s="963"/>
      <c r="U42" s="963"/>
      <c r="V42" s="963"/>
      <c r="W42" s="963"/>
      <c r="X42" s="963"/>
      <c r="Y42" s="958">
        <v>80</v>
      </c>
      <c r="Z42" s="959">
        <f>Y42*350%</f>
        <v>280</v>
      </c>
      <c r="AA42" s="959">
        <f t="shared" ref="AA42:AA47" si="56">K42*Z42%</f>
        <v>558942.04799999984</v>
      </c>
      <c r="AB42" s="963"/>
      <c r="AC42" s="963"/>
      <c r="AD42" s="958">
        <f t="shared" ref="AD42:AD47" si="57">K42*0.1</f>
        <v>19962.216</v>
      </c>
      <c r="AE42" s="958">
        <f t="shared" ref="AE42:AE47" si="58">K42+N42+O42+Q42+S42+U42+W42+X42+AA42+AD42+AC42</f>
        <v>778526.42399999988</v>
      </c>
      <c r="AF42" s="958">
        <f>AE42*12</f>
        <v>9342317.0879999995</v>
      </c>
      <c r="AG42" s="958">
        <f>K42</f>
        <v>199622.15999999997</v>
      </c>
      <c r="AH42" s="958">
        <f>AE42*12+AG42</f>
        <v>9541939.2479999997</v>
      </c>
      <c r="AI42" s="1013"/>
      <c r="AJ42" s="1013"/>
      <c r="AK42" s="1021"/>
      <c r="AL42" s="1021"/>
    </row>
    <row r="43" spans="1:209" s="1015" customFormat="1" ht="27" customHeight="1">
      <c r="A43" s="950">
        <v>2</v>
      </c>
      <c r="B43" s="952" t="s">
        <v>691</v>
      </c>
      <c r="C43" s="971" t="s">
        <v>867</v>
      </c>
      <c r="D43" s="956" t="s">
        <v>73</v>
      </c>
      <c r="E43" s="959">
        <v>1</v>
      </c>
      <c r="F43" s="950" t="s">
        <v>88</v>
      </c>
      <c r="G43" s="956">
        <v>4.83</v>
      </c>
      <c r="H43" s="958">
        <v>17697</v>
      </c>
      <c r="I43" s="955">
        <v>2</v>
      </c>
      <c r="J43" s="958"/>
      <c r="K43" s="958">
        <f t="shared" si="55"/>
        <v>170953.02</v>
      </c>
      <c r="L43" s="958"/>
      <c r="M43" s="958"/>
      <c r="N43" s="958"/>
      <c r="O43" s="958"/>
      <c r="P43" s="958"/>
      <c r="Q43" s="958"/>
      <c r="R43" s="958"/>
      <c r="S43" s="958"/>
      <c r="T43" s="958"/>
      <c r="U43" s="958"/>
      <c r="V43" s="958"/>
      <c r="W43" s="958"/>
      <c r="X43" s="958"/>
      <c r="Y43" s="958">
        <v>60</v>
      </c>
      <c r="Z43" s="959">
        <f t="shared" ref="Z43:Z47" si="59">Y43*350%</f>
        <v>210</v>
      </c>
      <c r="AA43" s="959">
        <f t="shared" si="56"/>
        <v>359001.342</v>
      </c>
      <c r="AB43" s="959"/>
      <c r="AC43" s="959"/>
      <c r="AD43" s="958">
        <f t="shared" si="57"/>
        <v>17095.302</v>
      </c>
      <c r="AE43" s="958">
        <f t="shared" si="58"/>
        <v>547049.66399999999</v>
      </c>
      <c r="AF43" s="958">
        <f t="shared" ref="AF43:AF47" si="60">AE43*12</f>
        <v>6564595.9680000003</v>
      </c>
      <c r="AG43" s="958">
        <f t="shared" ref="AG43:AG47" si="61">K43</f>
        <v>170953.02</v>
      </c>
      <c r="AH43" s="958">
        <f t="shared" ref="AH43:AH46" si="62">AE43*12+AG43</f>
        <v>6735548.9879999999</v>
      </c>
      <c r="AI43" s="1020"/>
      <c r="AJ43" s="1020"/>
      <c r="AK43" s="1021"/>
      <c r="AL43" s="1021"/>
      <c r="AM43" s="1013"/>
      <c r="AN43" s="1013"/>
      <c r="AO43" s="1013"/>
      <c r="AP43" s="1013"/>
      <c r="AQ43" s="1013"/>
      <c r="AR43" s="1013"/>
      <c r="AS43" s="1013"/>
      <c r="AT43" s="1013"/>
      <c r="AU43" s="1013"/>
      <c r="AV43" s="1013"/>
      <c r="AW43" s="1013"/>
      <c r="AX43" s="1013"/>
      <c r="AY43" s="1013"/>
      <c r="AZ43" s="1013"/>
      <c r="BA43" s="1013"/>
      <c r="BB43" s="1013"/>
      <c r="BC43" s="1013"/>
      <c r="BD43" s="1013"/>
      <c r="BE43" s="1013"/>
      <c r="BF43" s="1013"/>
      <c r="BG43" s="1013"/>
      <c r="BH43" s="1013"/>
      <c r="BI43" s="1013"/>
      <c r="BJ43" s="1013"/>
      <c r="BK43" s="1013"/>
      <c r="BL43" s="1013"/>
      <c r="BM43" s="1013"/>
      <c r="BN43" s="1013"/>
      <c r="BO43" s="1013"/>
      <c r="BP43" s="1013"/>
      <c r="BQ43" s="1013"/>
      <c r="BR43" s="1013"/>
      <c r="BS43" s="1013"/>
      <c r="BT43" s="1013"/>
      <c r="BU43" s="1013"/>
      <c r="BV43" s="1013"/>
      <c r="BW43" s="1013"/>
      <c r="BX43" s="1013"/>
      <c r="BY43" s="1013"/>
      <c r="BZ43" s="1013"/>
      <c r="CA43" s="1013"/>
      <c r="CB43" s="1013"/>
      <c r="CC43" s="1013"/>
      <c r="CD43" s="1013"/>
      <c r="CE43" s="1013"/>
      <c r="CF43" s="1013"/>
      <c r="CG43" s="1013"/>
      <c r="CH43" s="1013"/>
      <c r="CI43" s="1013"/>
      <c r="CJ43" s="1013"/>
      <c r="CK43" s="1013"/>
      <c r="CL43" s="1013"/>
      <c r="CM43" s="1013"/>
      <c r="CN43" s="1013"/>
      <c r="CO43" s="1013"/>
      <c r="CP43" s="1013"/>
      <c r="CQ43" s="1013"/>
      <c r="CR43" s="1013"/>
      <c r="CS43" s="1013"/>
      <c r="CT43" s="1013"/>
      <c r="CU43" s="1013"/>
      <c r="CV43" s="1013"/>
      <c r="CW43" s="1013"/>
      <c r="CX43" s="1013"/>
      <c r="CY43" s="1013"/>
      <c r="CZ43" s="1013"/>
      <c r="DA43" s="1013"/>
      <c r="DB43" s="1013"/>
      <c r="DC43" s="1013"/>
      <c r="DD43" s="1013"/>
      <c r="DE43" s="1013"/>
      <c r="DF43" s="1013"/>
      <c r="DG43" s="1013"/>
      <c r="DH43" s="1013"/>
      <c r="DI43" s="1013"/>
      <c r="DJ43" s="1013"/>
      <c r="DK43" s="1013"/>
      <c r="DL43" s="1013"/>
      <c r="DM43" s="1013"/>
      <c r="DN43" s="1013"/>
      <c r="DO43" s="1013"/>
      <c r="DP43" s="1013"/>
      <c r="DQ43" s="1013"/>
      <c r="DR43" s="1013"/>
      <c r="DS43" s="1013"/>
      <c r="DT43" s="1013"/>
      <c r="DU43" s="1013"/>
      <c r="DV43" s="1013"/>
      <c r="DW43" s="1013"/>
      <c r="DX43" s="1013"/>
      <c r="DY43" s="1013"/>
      <c r="DZ43" s="1013"/>
      <c r="EA43" s="1013"/>
      <c r="EB43" s="1013"/>
      <c r="EC43" s="1013"/>
      <c r="ED43" s="1013"/>
      <c r="EE43" s="1013"/>
      <c r="EF43" s="1013"/>
      <c r="EG43" s="1013"/>
      <c r="EH43" s="1013"/>
      <c r="EI43" s="1013"/>
      <c r="EJ43" s="1013"/>
      <c r="EK43" s="1013"/>
      <c r="EL43" s="1013"/>
      <c r="EM43" s="1013"/>
      <c r="EN43" s="1013"/>
      <c r="EO43" s="1013"/>
      <c r="EP43" s="1013"/>
      <c r="EQ43" s="1013"/>
      <c r="ER43" s="1013"/>
      <c r="ES43" s="1013"/>
      <c r="ET43" s="1013"/>
      <c r="EU43" s="1013"/>
      <c r="EV43" s="1013"/>
      <c r="EW43" s="1013"/>
      <c r="EX43" s="1013"/>
      <c r="EY43" s="1013"/>
      <c r="EZ43" s="1013"/>
      <c r="FA43" s="1013"/>
      <c r="FB43" s="1013"/>
      <c r="FC43" s="1013"/>
      <c r="FD43" s="1013"/>
      <c r="FE43" s="1013"/>
      <c r="FF43" s="1013"/>
      <c r="FG43" s="1013"/>
      <c r="FH43" s="1013"/>
      <c r="FI43" s="1013"/>
      <c r="FJ43" s="1013"/>
      <c r="FK43" s="1013"/>
      <c r="FL43" s="1013"/>
      <c r="FM43" s="1013"/>
      <c r="FN43" s="1013"/>
      <c r="FO43" s="1013"/>
      <c r="FP43" s="1013"/>
      <c r="FQ43" s="1013"/>
      <c r="FR43" s="1013"/>
      <c r="FS43" s="1013"/>
      <c r="FT43" s="1013"/>
      <c r="FU43" s="1013"/>
      <c r="FV43" s="1013"/>
      <c r="FW43" s="1013"/>
      <c r="FX43" s="1013"/>
      <c r="FY43" s="1013"/>
      <c r="FZ43" s="1013"/>
      <c r="GA43" s="1013"/>
      <c r="GB43" s="1013"/>
      <c r="GC43" s="1013"/>
      <c r="GD43" s="1013"/>
      <c r="GE43" s="1013"/>
      <c r="GF43" s="1013"/>
      <c r="GG43" s="1013"/>
      <c r="GH43" s="1013"/>
      <c r="GI43" s="1013"/>
      <c r="GJ43" s="1013"/>
      <c r="GK43" s="1013"/>
      <c r="GL43" s="1013"/>
      <c r="GM43" s="1013"/>
      <c r="GN43" s="1013"/>
      <c r="GO43" s="1013"/>
      <c r="GP43" s="1013"/>
      <c r="GQ43" s="1013"/>
      <c r="GR43" s="1013"/>
      <c r="GS43" s="1013"/>
      <c r="GT43" s="1013"/>
      <c r="GU43" s="1013"/>
      <c r="GV43" s="1013"/>
      <c r="GW43" s="1013"/>
      <c r="GX43" s="1013"/>
      <c r="GY43" s="1013"/>
      <c r="GZ43" s="1013"/>
      <c r="HA43" s="1013"/>
    </row>
    <row r="44" spans="1:209" s="1015" customFormat="1" ht="27" customHeight="1">
      <c r="A44" s="950">
        <v>3</v>
      </c>
      <c r="B44" s="952" t="s">
        <v>691</v>
      </c>
      <c r="C44" s="971" t="s">
        <v>867</v>
      </c>
      <c r="D44" s="956" t="s">
        <v>73</v>
      </c>
      <c r="E44" s="959">
        <v>1</v>
      </c>
      <c r="F44" s="958" t="s">
        <v>817</v>
      </c>
      <c r="G44" s="956">
        <v>4.0999999999999996</v>
      </c>
      <c r="H44" s="958">
        <v>17697</v>
      </c>
      <c r="I44" s="955">
        <v>2</v>
      </c>
      <c r="J44" s="958"/>
      <c r="K44" s="958">
        <f t="shared" si="55"/>
        <v>145115.4</v>
      </c>
      <c r="L44" s="958"/>
      <c r="M44" s="958"/>
      <c r="N44" s="958"/>
      <c r="O44" s="958"/>
      <c r="P44" s="958"/>
      <c r="Q44" s="958"/>
      <c r="R44" s="958"/>
      <c r="S44" s="958"/>
      <c r="T44" s="958"/>
      <c r="U44" s="958"/>
      <c r="V44" s="958"/>
      <c r="W44" s="958"/>
      <c r="X44" s="958"/>
      <c r="Y44" s="958">
        <v>60</v>
      </c>
      <c r="Z44" s="959">
        <f t="shared" si="59"/>
        <v>210</v>
      </c>
      <c r="AA44" s="959">
        <f t="shared" si="56"/>
        <v>304742.34000000003</v>
      </c>
      <c r="AB44" s="959"/>
      <c r="AC44" s="959"/>
      <c r="AD44" s="958">
        <f t="shared" si="57"/>
        <v>14511.54</v>
      </c>
      <c r="AE44" s="958">
        <f t="shared" si="58"/>
        <v>464369.27999999997</v>
      </c>
      <c r="AF44" s="958">
        <f t="shared" si="60"/>
        <v>5572431.3599999994</v>
      </c>
      <c r="AG44" s="958">
        <f t="shared" si="61"/>
        <v>145115.4</v>
      </c>
      <c r="AH44" s="958">
        <f t="shared" si="62"/>
        <v>5717546.7599999998</v>
      </c>
      <c r="AI44" s="1020"/>
      <c r="AJ44" s="1020"/>
      <c r="AK44" s="1021"/>
      <c r="AL44" s="1021"/>
      <c r="AM44" s="1013"/>
      <c r="AN44" s="1013"/>
      <c r="AO44" s="1013"/>
      <c r="AP44" s="1013"/>
      <c r="AQ44" s="1013"/>
      <c r="AR44" s="1013"/>
      <c r="AS44" s="1013"/>
      <c r="AT44" s="1013"/>
      <c r="AU44" s="1013"/>
      <c r="AV44" s="1013"/>
      <c r="AW44" s="1013"/>
      <c r="AX44" s="1013"/>
      <c r="AY44" s="1013"/>
      <c r="AZ44" s="1013"/>
      <c r="BA44" s="1013"/>
      <c r="BB44" s="1013"/>
      <c r="BC44" s="1013"/>
      <c r="BD44" s="1013"/>
      <c r="BE44" s="1013"/>
      <c r="BF44" s="1013"/>
      <c r="BG44" s="1013"/>
      <c r="BH44" s="1013"/>
      <c r="BI44" s="1013"/>
      <c r="BJ44" s="1013"/>
      <c r="BK44" s="1013"/>
      <c r="BL44" s="1013"/>
      <c r="BM44" s="1013"/>
      <c r="BN44" s="1013"/>
      <c r="BO44" s="1013"/>
      <c r="BP44" s="1013"/>
      <c r="BQ44" s="1013"/>
      <c r="BR44" s="1013"/>
      <c r="BS44" s="1013"/>
      <c r="BT44" s="1013"/>
      <c r="BU44" s="1013"/>
      <c r="BV44" s="1013"/>
      <c r="BW44" s="1013"/>
      <c r="BX44" s="1013"/>
      <c r="BY44" s="1013"/>
      <c r="BZ44" s="1013"/>
      <c r="CA44" s="1013"/>
      <c r="CB44" s="1013"/>
      <c r="CC44" s="1013"/>
      <c r="CD44" s="1013"/>
      <c r="CE44" s="1013"/>
      <c r="CF44" s="1013"/>
      <c r="CG44" s="1013"/>
      <c r="CH44" s="1013"/>
      <c r="CI44" s="1013"/>
      <c r="CJ44" s="1013"/>
      <c r="CK44" s="1013"/>
      <c r="CL44" s="1013"/>
      <c r="CM44" s="1013"/>
      <c r="CN44" s="1013"/>
      <c r="CO44" s="1013"/>
      <c r="CP44" s="1013"/>
      <c r="CQ44" s="1013"/>
      <c r="CR44" s="1013"/>
      <c r="CS44" s="1013"/>
      <c r="CT44" s="1013"/>
      <c r="CU44" s="1013"/>
      <c r="CV44" s="1013"/>
      <c r="CW44" s="1013"/>
      <c r="CX44" s="1013"/>
      <c r="CY44" s="1013"/>
      <c r="CZ44" s="1013"/>
      <c r="DA44" s="1013"/>
      <c r="DB44" s="1013"/>
      <c r="DC44" s="1013"/>
      <c r="DD44" s="1013"/>
      <c r="DE44" s="1013"/>
      <c r="DF44" s="1013"/>
      <c r="DG44" s="1013"/>
      <c r="DH44" s="1013"/>
      <c r="DI44" s="1013"/>
      <c r="DJ44" s="1013"/>
      <c r="DK44" s="1013"/>
      <c r="DL44" s="1013"/>
      <c r="DM44" s="1013"/>
      <c r="DN44" s="1013"/>
      <c r="DO44" s="1013"/>
      <c r="DP44" s="1013"/>
      <c r="DQ44" s="1013"/>
      <c r="DR44" s="1013"/>
      <c r="DS44" s="1013"/>
      <c r="DT44" s="1013"/>
      <c r="DU44" s="1013"/>
      <c r="DV44" s="1013"/>
      <c r="DW44" s="1013"/>
      <c r="DX44" s="1013"/>
      <c r="DY44" s="1013"/>
      <c r="DZ44" s="1013"/>
      <c r="EA44" s="1013"/>
      <c r="EB44" s="1013"/>
      <c r="EC44" s="1013"/>
      <c r="ED44" s="1013"/>
      <c r="EE44" s="1013"/>
      <c r="EF44" s="1013"/>
      <c r="EG44" s="1013"/>
      <c r="EH44" s="1013"/>
      <c r="EI44" s="1013"/>
      <c r="EJ44" s="1013"/>
      <c r="EK44" s="1013"/>
      <c r="EL44" s="1013"/>
      <c r="EM44" s="1013"/>
      <c r="EN44" s="1013"/>
      <c r="EO44" s="1013"/>
      <c r="EP44" s="1013"/>
      <c r="EQ44" s="1013"/>
      <c r="ER44" s="1013"/>
      <c r="ES44" s="1013"/>
      <c r="ET44" s="1013"/>
      <c r="EU44" s="1013"/>
      <c r="EV44" s="1013"/>
      <c r="EW44" s="1013"/>
      <c r="EX44" s="1013"/>
      <c r="EY44" s="1013"/>
      <c r="EZ44" s="1013"/>
      <c r="FA44" s="1013"/>
      <c r="FB44" s="1013"/>
      <c r="FC44" s="1013"/>
      <c r="FD44" s="1013"/>
      <c r="FE44" s="1013"/>
      <c r="FF44" s="1013"/>
      <c r="FG44" s="1013"/>
      <c r="FH44" s="1013"/>
      <c r="FI44" s="1013"/>
      <c r="FJ44" s="1013"/>
      <c r="FK44" s="1013"/>
      <c r="FL44" s="1013"/>
      <c r="FM44" s="1013"/>
      <c r="FN44" s="1013"/>
      <c r="FO44" s="1013"/>
      <c r="FP44" s="1013"/>
      <c r="FQ44" s="1013"/>
      <c r="FR44" s="1013"/>
      <c r="FS44" s="1013"/>
      <c r="FT44" s="1013"/>
      <c r="FU44" s="1013"/>
      <c r="FV44" s="1013"/>
      <c r="FW44" s="1013"/>
      <c r="FX44" s="1013"/>
      <c r="FY44" s="1013"/>
      <c r="FZ44" s="1013"/>
      <c r="GA44" s="1013"/>
      <c r="GB44" s="1013"/>
      <c r="GC44" s="1013"/>
      <c r="GD44" s="1013"/>
      <c r="GE44" s="1013"/>
      <c r="GF44" s="1013"/>
      <c r="GG44" s="1013"/>
      <c r="GH44" s="1013"/>
      <c r="GI44" s="1013"/>
      <c r="GJ44" s="1013"/>
      <c r="GK44" s="1013"/>
      <c r="GL44" s="1013"/>
      <c r="GM44" s="1013"/>
      <c r="GN44" s="1013"/>
      <c r="GO44" s="1013"/>
      <c r="GP44" s="1013"/>
      <c r="GQ44" s="1013"/>
      <c r="GR44" s="1013"/>
      <c r="GS44" s="1013"/>
      <c r="GT44" s="1013"/>
      <c r="GU44" s="1013"/>
      <c r="GV44" s="1013"/>
      <c r="GW44" s="1013"/>
      <c r="GX44" s="1013"/>
      <c r="GY44" s="1013"/>
      <c r="GZ44" s="1013"/>
      <c r="HA44" s="1013"/>
    </row>
    <row r="45" spans="1:209" s="1015" customFormat="1" ht="45" customHeight="1">
      <c r="A45" s="950">
        <v>4</v>
      </c>
      <c r="B45" s="974" t="s">
        <v>868</v>
      </c>
      <c r="C45" s="971" t="s">
        <v>692</v>
      </c>
      <c r="D45" s="956" t="s">
        <v>73</v>
      </c>
      <c r="E45" s="959">
        <v>1</v>
      </c>
      <c r="F45" s="958" t="s">
        <v>817</v>
      </c>
      <c r="G45" s="956">
        <v>4.0999999999999996</v>
      </c>
      <c r="H45" s="958">
        <v>17697</v>
      </c>
      <c r="I45" s="955">
        <v>2</v>
      </c>
      <c r="J45" s="958"/>
      <c r="K45" s="958">
        <f t="shared" si="55"/>
        <v>145115.4</v>
      </c>
      <c r="L45" s="958"/>
      <c r="M45" s="958"/>
      <c r="N45" s="958"/>
      <c r="O45" s="958"/>
      <c r="P45" s="958"/>
      <c r="Q45" s="958"/>
      <c r="R45" s="958"/>
      <c r="S45" s="958"/>
      <c r="T45" s="958"/>
      <c r="U45" s="958"/>
      <c r="V45" s="958"/>
      <c r="W45" s="958"/>
      <c r="X45" s="958"/>
      <c r="Y45" s="958">
        <v>60</v>
      </c>
      <c r="Z45" s="959">
        <f t="shared" si="59"/>
        <v>210</v>
      </c>
      <c r="AA45" s="959">
        <f t="shared" si="56"/>
        <v>304742.34000000003</v>
      </c>
      <c r="AB45" s="959"/>
      <c r="AC45" s="959"/>
      <c r="AD45" s="958">
        <f t="shared" si="57"/>
        <v>14511.54</v>
      </c>
      <c r="AE45" s="958">
        <f t="shared" si="58"/>
        <v>464369.27999999997</v>
      </c>
      <c r="AF45" s="958">
        <f t="shared" si="60"/>
        <v>5572431.3599999994</v>
      </c>
      <c r="AG45" s="958">
        <f t="shared" si="61"/>
        <v>145115.4</v>
      </c>
      <c r="AH45" s="958">
        <f t="shared" si="62"/>
        <v>5717546.7599999998</v>
      </c>
      <c r="AI45" s="1020"/>
      <c r="AJ45" s="1020"/>
      <c r="AK45" s="1021"/>
      <c r="AL45" s="1021"/>
      <c r="AM45" s="1013"/>
      <c r="AN45" s="1013"/>
      <c r="AO45" s="1013"/>
      <c r="AP45" s="1013"/>
      <c r="AQ45" s="1013"/>
      <c r="AR45" s="1013"/>
      <c r="AS45" s="1013"/>
      <c r="AT45" s="1013"/>
      <c r="AU45" s="1013"/>
      <c r="AV45" s="1013"/>
      <c r="AW45" s="1013"/>
      <c r="AX45" s="1013"/>
      <c r="AY45" s="1013"/>
      <c r="AZ45" s="1013"/>
      <c r="BA45" s="1013"/>
      <c r="BB45" s="1013"/>
      <c r="BC45" s="1013"/>
      <c r="BD45" s="1013"/>
      <c r="BE45" s="1013"/>
      <c r="BF45" s="1013"/>
      <c r="BG45" s="1013"/>
      <c r="BH45" s="1013"/>
      <c r="BI45" s="1013"/>
      <c r="BJ45" s="1013"/>
      <c r="BK45" s="1013"/>
      <c r="BL45" s="1013"/>
      <c r="BM45" s="1013"/>
      <c r="BN45" s="1013"/>
      <c r="BO45" s="1013"/>
      <c r="BP45" s="1013"/>
      <c r="BQ45" s="1013"/>
      <c r="BR45" s="1013"/>
      <c r="BS45" s="1013"/>
      <c r="BT45" s="1013"/>
      <c r="BU45" s="1013"/>
      <c r="BV45" s="1013"/>
      <c r="BW45" s="1013"/>
      <c r="BX45" s="1013"/>
      <c r="BY45" s="1013"/>
      <c r="BZ45" s="1013"/>
      <c r="CA45" s="1013"/>
      <c r="CB45" s="1013"/>
      <c r="CC45" s="1013"/>
      <c r="CD45" s="1013"/>
      <c r="CE45" s="1013"/>
      <c r="CF45" s="1013"/>
      <c r="CG45" s="1013"/>
      <c r="CH45" s="1013"/>
      <c r="CI45" s="1013"/>
      <c r="CJ45" s="1013"/>
      <c r="CK45" s="1013"/>
      <c r="CL45" s="1013"/>
      <c r="CM45" s="1013"/>
      <c r="CN45" s="1013"/>
      <c r="CO45" s="1013"/>
      <c r="CP45" s="1013"/>
      <c r="CQ45" s="1013"/>
      <c r="CR45" s="1013"/>
      <c r="CS45" s="1013"/>
      <c r="CT45" s="1013"/>
      <c r="CU45" s="1013"/>
      <c r="CV45" s="1013"/>
      <c r="CW45" s="1013"/>
      <c r="CX45" s="1013"/>
      <c r="CY45" s="1013"/>
      <c r="CZ45" s="1013"/>
      <c r="DA45" s="1013"/>
      <c r="DB45" s="1013"/>
      <c r="DC45" s="1013"/>
      <c r="DD45" s="1013"/>
      <c r="DE45" s="1013"/>
      <c r="DF45" s="1013"/>
      <c r="DG45" s="1013"/>
      <c r="DH45" s="1013"/>
      <c r="DI45" s="1013"/>
      <c r="DJ45" s="1013"/>
      <c r="DK45" s="1013"/>
      <c r="DL45" s="1013"/>
      <c r="DM45" s="1013"/>
      <c r="DN45" s="1013"/>
      <c r="DO45" s="1013"/>
      <c r="DP45" s="1013"/>
      <c r="DQ45" s="1013"/>
      <c r="DR45" s="1013"/>
      <c r="DS45" s="1013"/>
      <c r="DT45" s="1013"/>
      <c r="DU45" s="1013"/>
      <c r="DV45" s="1013"/>
      <c r="DW45" s="1013"/>
      <c r="DX45" s="1013"/>
      <c r="DY45" s="1013"/>
      <c r="DZ45" s="1013"/>
      <c r="EA45" s="1013"/>
      <c r="EB45" s="1013"/>
      <c r="EC45" s="1013"/>
      <c r="ED45" s="1013"/>
      <c r="EE45" s="1013"/>
      <c r="EF45" s="1013"/>
      <c r="EG45" s="1013"/>
      <c r="EH45" s="1013"/>
      <c r="EI45" s="1013"/>
      <c r="EJ45" s="1013"/>
      <c r="EK45" s="1013"/>
      <c r="EL45" s="1013"/>
      <c r="EM45" s="1013"/>
      <c r="EN45" s="1013"/>
      <c r="EO45" s="1013"/>
      <c r="EP45" s="1013"/>
      <c r="EQ45" s="1013"/>
      <c r="ER45" s="1013"/>
      <c r="ES45" s="1013"/>
      <c r="ET45" s="1013"/>
      <c r="EU45" s="1013"/>
      <c r="EV45" s="1013"/>
      <c r="EW45" s="1013"/>
      <c r="EX45" s="1013"/>
      <c r="EY45" s="1013"/>
      <c r="EZ45" s="1013"/>
      <c r="FA45" s="1013"/>
      <c r="FB45" s="1013"/>
      <c r="FC45" s="1013"/>
      <c r="FD45" s="1013"/>
      <c r="FE45" s="1013"/>
      <c r="FF45" s="1013"/>
      <c r="FG45" s="1013"/>
      <c r="FH45" s="1013"/>
      <c r="FI45" s="1013"/>
      <c r="FJ45" s="1013"/>
      <c r="FK45" s="1013"/>
      <c r="FL45" s="1013"/>
      <c r="FM45" s="1013"/>
      <c r="FN45" s="1013"/>
      <c r="FO45" s="1013"/>
      <c r="FP45" s="1013"/>
      <c r="FQ45" s="1013"/>
      <c r="FR45" s="1013"/>
      <c r="FS45" s="1013"/>
      <c r="FT45" s="1013"/>
      <c r="FU45" s="1013"/>
      <c r="FV45" s="1013"/>
      <c r="FW45" s="1013"/>
      <c r="FX45" s="1013"/>
      <c r="FY45" s="1013"/>
      <c r="FZ45" s="1013"/>
      <c r="GA45" s="1013"/>
      <c r="GB45" s="1013"/>
      <c r="GC45" s="1013"/>
      <c r="GD45" s="1013"/>
      <c r="GE45" s="1013"/>
      <c r="GF45" s="1013"/>
      <c r="GG45" s="1013"/>
      <c r="GH45" s="1013"/>
      <c r="GI45" s="1013"/>
      <c r="GJ45" s="1013"/>
      <c r="GK45" s="1013"/>
      <c r="GL45" s="1013"/>
      <c r="GM45" s="1013"/>
      <c r="GN45" s="1013"/>
      <c r="GO45" s="1013"/>
      <c r="GP45" s="1013"/>
      <c r="GQ45" s="1013"/>
      <c r="GR45" s="1013"/>
      <c r="GS45" s="1013"/>
      <c r="GT45" s="1013"/>
      <c r="GU45" s="1013"/>
      <c r="GV45" s="1013"/>
      <c r="GW45" s="1013"/>
      <c r="GX45" s="1013"/>
      <c r="GY45" s="1013"/>
      <c r="GZ45" s="1013"/>
      <c r="HA45" s="1013"/>
    </row>
    <row r="46" spans="1:209" s="1015" customFormat="1" ht="45" customHeight="1">
      <c r="A46" s="950">
        <v>5</v>
      </c>
      <c r="B46" s="974" t="s">
        <v>868</v>
      </c>
      <c r="C46" s="971" t="s">
        <v>869</v>
      </c>
      <c r="D46" s="956" t="s">
        <v>73</v>
      </c>
      <c r="E46" s="959">
        <v>1</v>
      </c>
      <c r="F46" s="958" t="s">
        <v>685</v>
      </c>
      <c r="G46" s="956">
        <v>4.6100000000000003</v>
      </c>
      <c r="H46" s="958">
        <v>17697</v>
      </c>
      <c r="I46" s="955">
        <v>2</v>
      </c>
      <c r="J46" s="958"/>
      <c r="K46" s="958">
        <f t="shared" si="55"/>
        <v>163166.34000000003</v>
      </c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>
        <v>60</v>
      </c>
      <c r="Z46" s="959">
        <f t="shared" si="59"/>
        <v>210</v>
      </c>
      <c r="AA46" s="959">
        <f t="shared" si="56"/>
        <v>342649.31400000007</v>
      </c>
      <c r="AB46" s="959"/>
      <c r="AC46" s="959"/>
      <c r="AD46" s="958">
        <f t="shared" si="57"/>
        <v>16316.634000000004</v>
      </c>
      <c r="AE46" s="958">
        <f t="shared" si="58"/>
        <v>522132.28800000012</v>
      </c>
      <c r="AF46" s="958">
        <f t="shared" si="60"/>
        <v>6265587.4560000012</v>
      </c>
      <c r="AG46" s="958">
        <f t="shared" si="61"/>
        <v>163166.34000000003</v>
      </c>
      <c r="AH46" s="958">
        <f t="shared" si="62"/>
        <v>6428753.796000001</v>
      </c>
      <c r="AI46" s="1020"/>
      <c r="AJ46" s="1020"/>
      <c r="AK46" s="1021"/>
      <c r="AL46" s="1021"/>
      <c r="AM46" s="1013"/>
      <c r="AN46" s="1013"/>
      <c r="AO46" s="1013"/>
      <c r="AP46" s="1013"/>
      <c r="AQ46" s="1013"/>
      <c r="AR46" s="1013"/>
      <c r="AS46" s="1013"/>
      <c r="AT46" s="1013"/>
      <c r="AU46" s="1013"/>
      <c r="AV46" s="1013"/>
      <c r="AW46" s="1013"/>
      <c r="AX46" s="1013"/>
      <c r="AY46" s="1013"/>
      <c r="AZ46" s="1013"/>
      <c r="BA46" s="1013"/>
      <c r="BB46" s="1013"/>
      <c r="BC46" s="1013"/>
      <c r="BD46" s="1013"/>
      <c r="BE46" s="1013"/>
      <c r="BF46" s="1013"/>
      <c r="BG46" s="1013"/>
      <c r="BH46" s="1013"/>
      <c r="BI46" s="1013"/>
      <c r="BJ46" s="1013"/>
      <c r="BK46" s="1013"/>
      <c r="BL46" s="1013"/>
      <c r="BM46" s="1013"/>
      <c r="BN46" s="1013"/>
      <c r="BO46" s="1013"/>
      <c r="BP46" s="1013"/>
      <c r="BQ46" s="1013"/>
      <c r="BR46" s="1013"/>
      <c r="BS46" s="1013"/>
      <c r="BT46" s="1013"/>
      <c r="BU46" s="1013"/>
      <c r="BV46" s="1013"/>
      <c r="BW46" s="1013"/>
      <c r="BX46" s="1013"/>
      <c r="BY46" s="1013"/>
      <c r="BZ46" s="1013"/>
      <c r="CA46" s="1013"/>
      <c r="CB46" s="1013"/>
      <c r="CC46" s="1013"/>
      <c r="CD46" s="1013"/>
      <c r="CE46" s="1013"/>
      <c r="CF46" s="1013"/>
      <c r="CG46" s="1013"/>
      <c r="CH46" s="1013"/>
      <c r="CI46" s="1013"/>
      <c r="CJ46" s="1013"/>
      <c r="CK46" s="1013"/>
      <c r="CL46" s="1013"/>
      <c r="CM46" s="1013"/>
      <c r="CN46" s="1013"/>
      <c r="CO46" s="1013"/>
      <c r="CP46" s="1013"/>
      <c r="CQ46" s="1013"/>
      <c r="CR46" s="1013"/>
      <c r="CS46" s="1013"/>
      <c r="CT46" s="1013"/>
      <c r="CU46" s="1013"/>
      <c r="CV46" s="1013"/>
      <c r="CW46" s="1013"/>
      <c r="CX46" s="1013"/>
      <c r="CY46" s="1013"/>
      <c r="CZ46" s="1013"/>
      <c r="DA46" s="1013"/>
      <c r="DB46" s="1013"/>
      <c r="DC46" s="1013"/>
      <c r="DD46" s="1013"/>
      <c r="DE46" s="1013"/>
      <c r="DF46" s="1013"/>
      <c r="DG46" s="1013"/>
      <c r="DH46" s="1013"/>
      <c r="DI46" s="1013"/>
      <c r="DJ46" s="1013"/>
      <c r="DK46" s="1013"/>
      <c r="DL46" s="1013"/>
      <c r="DM46" s="1013"/>
      <c r="DN46" s="1013"/>
      <c r="DO46" s="1013"/>
      <c r="DP46" s="1013"/>
      <c r="DQ46" s="1013"/>
      <c r="DR46" s="1013"/>
      <c r="DS46" s="1013"/>
      <c r="DT46" s="1013"/>
      <c r="DU46" s="1013"/>
      <c r="DV46" s="1013"/>
      <c r="DW46" s="1013"/>
      <c r="DX46" s="1013"/>
      <c r="DY46" s="1013"/>
      <c r="DZ46" s="1013"/>
      <c r="EA46" s="1013"/>
      <c r="EB46" s="1013"/>
      <c r="EC46" s="1013"/>
      <c r="ED46" s="1013"/>
      <c r="EE46" s="1013"/>
      <c r="EF46" s="1013"/>
      <c r="EG46" s="1013"/>
      <c r="EH46" s="1013"/>
      <c r="EI46" s="1013"/>
      <c r="EJ46" s="1013"/>
      <c r="EK46" s="1013"/>
      <c r="EL46" s="1013"/>
      <c r="EM46" s="1013"/>
      <c r="EN46" s="1013"/>
      <c r="EO46" s="1013"/>
      <c r="EP46" s="1013"/>
      <c r="EQ46" s="1013"/>
      <c r="ER46" s="1013"/>
      <c r="ES46" s="1013"/>
      <c r="ET46" s="1013"/>
      <c r="EU46" s="1013"/>
      <c r="EV46" s="1013"/>
      <c r="EW46" s="1013"/>
      <c r="EX46" s="1013"/>
      <c r="EY46" s="1013"/>
      <c r="EZ46" s="1013"/>
      <c r="FA46" s="1013"/>
      <c r="FB46" s="1013"/>
      <c r="FC46" s="1013"/>
      <c r="FD46" s="1013"/>
      <c r="FE46" s="1013"/>
      <c r="FF46" s="1013"/>
      <c r="FG46" s="1013"/>
      <c r="FH46" s="1013"/>
      <c r="FI46" s="1013"/>
      <c r="FJ46" s="1013"/>
      <c r="FK46" s="1013"/>
      <c r="FL46" s="1013"/>
      <c r="FM46" s="1013"/>
      <c r="FN46" s="1013"/>
      <c r="FO46" s="1013"/>
      <c r="FP46" s="1013"/>
      <c r="FQ46" s="1013"/>
      <c r="FR46" s="1013"/>
      <c r="FS46" s="1013"/>
      <c r="FT46" s="1013"/>
      <c r="FU46" s="1013"/>
      <c r="FV46" s="1013"/>
      <c r="FW46" s="1013"/>
      <c r="FX46" s="1013"/>
      <c r="FY46" s="1013"/>
      <c r="FZ46" s="1013"/>
      <c r="GA46" s="1013"/>
      <c r="GB46" s="1013"/>
      <c r="GC46" s="1013"/>
      <c r="GD46" s="1013"/>
      <c r="GE46" s="1013"/>
      <c r="GF46" s="1013"/>
      <c r="GG46" s="1013"/>
      <c r="GH46" s="1013"/>
      <c r="GI46" s="1013"/>
      <c r="GJ46" s="1013"/>
      <c r="GK46" s="1013"/>
      <c r="GL46" s="1013"/>
      <c r="GM46" s="1013"/>
      <c r="GN46" s="1013"/>
      <c r="GO46" s="1013"/>
      <c r="GP46" s="1013"/>
      <c r="GQ46" s="1013"/>
      <c r="GR46" s="1013"/>
      <c r="GS46" s="1013"/>
      <c r="GT46" s="1013"/>
      <c r="GU46" s="1013"/>
      <c r="GV46" s="1013"/>
      <c r="GW46" s="1013"/>
      <c r="GX46" s="1013"/>
      <c r="GY46" s="1013"/>
      <c r="GZ46" s="1013"/>
      <c r="HA46" s="1013"/>
    </row>
    <row r="47" spans="1:209" s="1015" customFormat="1" ht="29.25" customHeight="1">
      <c r="A47" s="950">
        <v>6</v>
      </c>
      <c r="B47" s="974" t="s">
        <v>693</v>
      </c>
      <c r="C47" s="971" t="s">
        <v>694</v>
      </c>
      <c r="D47" s="956" t="s">
        <v>73</v>
      </c>
      <c r="E47" s="959">
        <v>1</v>
      </c>
      <c r="F47" s="958" t="s">
        <v>817</v>
      </c>
      <c r="G47" s="956">
        <v>4.0999999999999996</v>
      </c>
      <c r="H47" s="958">
        <v>17697</v>
      </c>
      <c r="I47" s="955">
        <v>2</v>
      </c>
      <c r="J47" s="958"/>
      <c r="K47" s="958">
        <f t="shared" si="55"/>
        <v>145115.4</v>
      </c>
      <c r="L47" s="958"/>
      <c r="M47" s="958"/>
      <c r="N47" s="958"/>
      <c r="O47" s="958"/>
      <c r="P47" s="958"/>
      <c r="Q47" s="958"/>
      <c r="R47" s="958"/>
      <c r="S47" s="958"/>
      <c r="T47" s="958"/>
      <c r="U47" s="958"/>
      <c r="V47" s="958"/>
      <c r="W47" s="958"/>
      <c r="X47" s="958"/>
      <c r="Y47" s="958">
        <v>60</v>
      </c>
      <c r="Z47" s="959">
        <f t="shared" si="59"/>
        <v>210</v>
      </c>
      <c r="AA47" s="959">
        <f t="shared" si="56"/>
        <v>304742.34000000003</v>
      </c>
      <c r="AB47" s="959"/>
      <c r="AC47" s="959"/>
      <c r="AD47" s="958">
        <f t="shared" si="57"/>
        <v>14511.54</v>
      </c>
      <c r="AE47" s="958">
        <f t="shared" si="58"/>
        <v>464369.27999999997</v>
      </c>
      <c r="AF47" s="958">
        <f t="shared" si="60"/>
        <v>5572431.3599999994</v>
      </c>
      <c r="AG47" s="958">
        <f t="shared" si="61"/>
        <v>145115.4</v>
      </c>
      <c r="AH47" s="958">
        <f>AE47*12+AG47</f>
        <v>5717546.7599999998</v>
      </c>
      <c r="AI47" s="1020"/>
      <c r="AJ47" s="1020"/>
      <c r="AK47" s="1021"/>
      <c r="AL47" s="1021"/>
      <c r="AM47" s="1013"/>
      <c r="AN47" s="1013"/>
      <c r="AO47" s="1013"/>
      <c r="AP47" s="1013"/>
      <c r="AQ47" s="1013"/>
      <c r="AR47" s="1013"/>
      <c r="AS47" s="1013"/>
      <c r="AT47" s="1013"/>
      <c r="AU47" s="1013"/>
      <c r="AV47" s="1013"/>
      <c r="AW47" s="1013"/>
      <c r="AX47" s="1013"/>
      <c r="AY47" s="1013"/>
      <c r="AZ47" s="1013"/>
      <c r="BA47" s="1013"/>
      <c r="BB47" s="1013"/>
      <c r="BC47" s="1013"/>
      <c r="BD47" s="1013"/>
      <c r="BE47" s="1013"/>
      <c r="BF47" s="1013"/>
      <c r="BG47" s="1013"/>
      <c r="BH47" s="1013"/>
      <c r="BI47" s="1013"/>
      <c r="BJ47" s="1013"/>
      <c r="BK47" s="1013"/>
      <c r="BL47" s="1013"/>
      <c r="BM47" s="1013"/>
      <c r="BN47" s="1013"/>
      <c r="BO47" s="1013"/>
      <c r="BP47" s="1013"/>
      <c r="BQ47" s="1013"/>
      <c r="BR47" s="1013"/>
      <c r="BS47" s="1013"/>
      <c r="BT47" s="1013"/>
      <c r="BU47" s="1013"/>
      <c r="BV47" s="1013"/>
      <c r="BW47" s="1013"/>
      <c r="BX47" s="1013"/>
      <c r="BY47" s="1013"/>
      <c r="BZ47" s="1013"/>
      <c r="CA47" s="1013"/>
      <c r="CB47" s="1013"/>
      <c r="CC47" s="1013"/>
      <c r="CD47" s="1013"/>
      <c r="CE47" s="1013"/>
      <c r="CF47" s="1013"/>
      <c r="CG47" s="1013"/>
      <c r="CH47" s="1013"/>
      <c r="CI47" s="1013"/>
      <c r="CJ47" s="1013"/>
      <c r="CK47" s="1013"/>
      <c r="CL47" s="1013"/>
      <c r="CM47" s="1013"/>
      <c r="CN47" s="1013"/>
      <c r="CO47" s="1013"/>
      <c r="CP47" s="1013"/>
      <c r="CQ47" s="1013"/>
      <c r="CR47" s="1013"/>
      <c r="CS47" s="1013"/>
      <c r="CT47" s="1013"/>
      <c r="CU47" s="1013"/>
      <c r="CV47" s="1013"/>
      <c r="CW47" s="1013"/>
      <c r="CX47" s="1013"/>
      <c r="CY47" s="1013"/>
      <c r="CZ47" s="1013"/>
      <c r="DA47" s="1013"/>
      <c r="DB47" s="1013"/>
      <c r="DC47" s="1013"/>
      <c r="DD47" s="1013"/>
      <c r="DE47" s="1013"/>
      <c r="DF47" s="1013"/>
      <c r="DG47" s="1013"/>
      <c r="DH47" s="1013"/>
      <c r="DI47" s="1013"/>
      <c r="DJ47" s="1013"/>
      <c r="DK47" s="1013"/>
      <c r="DL47" s="1013"/>
      <c r="DM47" s="1013"/>
      <c r="DN47" s="1013"/>
      <c r="DO47" s="1013"/>
      <c r="DP47" s="1013"/>
      <c r="DQ47" s="1013"/>
      <c r="DR47" s="1013"/>
      <c r="DS47" s="1013"/>
      <c r="DT47" s="1013"/>
      <c r="DU47" s="1013"/>
      <c r="DV47" s="1013"/>
      <c r="DW47" s="1013"/>
      <c r="DX47" s="1013"/>
      <c r="DY47" s="1013"/>
      <c r="DZ47" s="1013"/>
      <c r="EA47" s="1013"/>
      <c r="EB47" s="1013"/>
      <c r="EC47" s="1013"/>
      <c r="ED47" s="1013"/>
      <c r="EE47" s="1013"/>
      <c r="EF47" s="1013"/>
      <c r="EG47" s="1013"/>
      <c r="EH47" s="1013"/>
      <c r="EI47" s="1013"/>
      <c r="EJ47" s="1013"/>
      <c r="EK47" s="1013"/>
      <c r="EL47" s="1013"/>
      <c r="EM47" s="1013"/>
      <c r="EN47" s="1013"/>
      <c r="EO47" s="1013"/>
      <c r="EP47" s="1013"/>
      <c r="EQ47" s="1013"/>
      <c r="ER47" s="1013"/>
      <c r="ES47" s="1013"/>
      <c r="ET47" s="1013"/>
      <c r="EU47" s="1013"/>
      <c r="EV47" s="1013"/>
      <c r="EW47" s="1013"/>
      <c r="EX47" s="1013"/>
      <c r="EY47" s="1013"/>
      <c r="EZ47" s="1013"/>
      <c r="FA47" s="1013"/>
      <c r="FB47" s="1013"/>
      <c r="FC47" s="1013"/>
      <c r="FD47" s="1013"/>
      <c r="FE47" s="1013"/>
      <c r="FF47" s="1013"/>
      <c r="FG47" s="1013"/>
      <c r="FH47" s="1013"/>
      <c r="FI47" s="1013"/>
      <c r="FJ47" s="1013"/>
      <c r="FK47" s="1013"/>
      <c r="FL47" s="1013"/>
      <c r="FM47" s="1013"/>
      <c r="FN47" s="1013"/>
      <c r="FO47" s="1013"/>
      <c r="FP47" s="1013"/>
      <c r="FQ47" s="1013"/>
      <c r="FR47" s="1013"/>
      <c r="FS47" s="1013"/>
      <c r="FT47" s="1013"/>
      <c r="FU47" s="1013"/>
      <c r="FV47" s="1013"/>
      <c r="FW47" s="1013"/>
      <c r="FX47" s="1013"/>
      <c r="FY47" s="1013"/>
      <c r="FZ47" s="1013"/>
      <c r="GA47" s="1013"/>
      <c r="GB47" s="1013"/>
      <c r="GC47" s="1013"/>
      <c r="GD47" s="1013"/>
      <c r="GE47" s="1013"/>
      <c r="GF47" s="1013"/>
      <c r="GG47" s="1013"/>
      <c r="GH47" s="1013"/>
      <c r="GI47" s="1013"/>
      <c r="GJ47" s="1013"/>
      <c r="GK47" s="1013"/>
      <c r="GL47" s="1013"/>
      <c r="GM47" s="1013"/>
      <c r="GN47" s="1013"/>
      <c r="GO47" s="1013"/>
      <c r="GP47" s="1013"/>
      <c r="GQ47" s="1013"/>
      <c r="GR47" s="1013"/>
      <c r="GS47" s="1013"/>
      <c r="GT47" s="1013"/>
      <c r="GU47" s="1013"/>
      <c r="GV47" s="1013"/>
      <c r="GW47" s="1013"/>
      <c r="GX47" s="1013"/>
      <c r="GY47" s="1013"/>
      <c r="GZ47" s="1013"/>
      <c r="HA47" s="1013"/>
    </row>
    <row r="48" spans="1:209" s="1015" customFormat="1" ht="23.25" customHeight="1">
      <c r="A48" s="950"/>
      <c r="B48" s="964" t="s">
        <v>627</v>
      </c>
      <c r="C48" s="952"/>
      <c r="D48" s="956"/>
      <c r="E48" s="961">
        <f>SUM(E42:E47)</f>
        <v>6</v>
      </c>
      <c r="F48" s="960"/>
      <c r="G48" s="956"/>
      <c r="H48" s="958"/>
      <c r="I48" s="955"/>
      <c r="J48" s="958"/>
      <c r="K48" s="961">
        <f>SUM(K42:K47)</f>
        <v>969087.72000000009</v>
      </c>
      <c r="L48" s="961">
        <f>SUM(L45:L45)</f>
        <v>0</v>
      </c>
      <c r="M48" s="961">
        <f>SUM(M45:M45)</f>
        <v>0</v>
      </c>
      <c r="N48" s="961">
        <f>SUM(N45:N45)</f>
        <v>0</v>
      </c>
      <c r="O48" s="961">
        <f>SUM(O45:O45)</f>
        <v>0</v>
      </c>
      <c r="P48" s="961"/>
      <c r="Q48" s="961">
        <f>SUM(Q45:Q45)</f>
        <v>0</v>
      </c>
      <c r="R48" s="961"/>
      <c r="S48" s="961">
        <f>SUM(S45:S45)</f>
        <v>0</v>
      </c>
      <c r="T48" s="961"/>
      <c r="U48" s="961">
        <f>SUM(U45:U45)</f>
        <v>0</v>
      </c>
      <c r="V48" s="961"/>
      <c r="W48" s="961">
        <f>SUM(W45:W45)</f>
        <v>0</v>
      </c>
      <c r="X48" s="961">
        <f>SUM(X45:X45)</f>
        <v>0</v>
      </c>
      <c r="Y48" s="961"/>
      <c r="Z48" s="961"/>
      <c r="AA48" s="961">
        <f>SUM(AA42:AA47)</f>
        <v>2174819.7239999999</v>
      </c>
      <c r="AB48" s="961"/>
      <c r="AC48" s="961">
        <f>SUM(AC45:AC45)</f>
        <v>0</v>
      </c>
      <c r="AD48" s="961">
        <f>SUM(AD42:AD47)</f>
        <v>96908.771999999997</v>
      </c>
      <c r="AE48" s="961">
        <f>SUM(AE42:AE47)</f>
        <v>3240816.216</v>
      </c>
      <c r="AF48" s="961">
        <f>SUM(AF42:AF47)</f>
        <v>38889794.592</v>
      </c>
      <c r="AG48" s="961">
        <f>SUM(AG42:AG47)</f>
        <v>969087.72000000009</v>
      </c>
      <c r="AH48" s="961">
        <f>SUM(AH42:AH47)</f>
        <v>39858882.311999999</v>
      </c>
      <c r="AI48" s="1020"/>
      <c r="AJ48" s="1020"/>
      <c r="AK48" s="1021"/>
      <c r="AL48" s="1021"/>
      <c r="AM48" s="1013"/>
      <c r="AN48" s="1013"/>
      <c r="AO48" s="1013"/>
      <c r="AP48" s="1013"/>
      <c r="AQ48" s="1013"/>
      <c r="AR48" s="1013"/>
      <c r="AS48" s="1013"/>
      <c r="AT48" s="1013"/>
      <c r="AU48" s="1013"/>
      <c r="AV48" s="1013"/>
      <c r="AW48" s="1013"/>
      <c r="AX48" s="1013"/>
      <c r="AY48" s="1013"/>
      <c r="AZ48" s="1013"/>
      <c r="BA48" s="1013"/>
      <c r="BB48" s="1013"/>
      <c r="BC48" s="1013"/>
      <c r="BD48" s="1013"/>
      <c r="BE48" s="1013"/>
      <c r="BF48" s="1013"/>
      <c r="BG48" s="1013"/>
      <c r="BH48" s="1013"/>
      <c r="BI48" s="1013"/>
      <c r="BJ48" s="1013"/>
      <c r="BK48" s="1013"/>
      <c r="BL48" s="1013"/>
      <c r="BM48" s="1013"/>
      <c r="BN48" s="1013"/>
      <c r="BO48" s="1013"/>
      <c r="BP48" s="1013"/>
      <c r="BQ48" s="1013"/>
      <c r="BR48" s="1013"/>
      <c r="BS48" s="1013"/>
      <c r="BT48" s="1013"/>
      <c r="BU48" s="1013"/>
      <c r="BV48" s="1013"/>
      <c r="BW48" s="1013"/>
      <c r="BX48" s="1013"/>
      <c r="BY48" s="1013"/>
      <c r="BZ48" s="1013"/>
      <c r="CA48" s="1013"/>
      <c r="CB48" s="1013"/>
      <c r="CC48" s="1013"/>
      <c r="CD48" s="1013"/>
      <c r="CE48" s="1013"/>
      <c r="CF48" s="1013"/>
      <c r="CG48" s="1013"/>
      <c r="CH48" s="1013"/>
      <c r="CI48" s="1013"/>
      <c r="CJ48" s="1013"/>
      <c r="CK48" s="1013"/>
      <c r="CL48" s="1013"/>
      <c r="CM48" s="1013"/>
      <c r="CN48" s="1013"/>
      <c r="CO48" s="1013"/>
      <c r="CP48" s="1013"/>
      <c r="CQ48" s="1013"/>
      <c r="CR48" s="1013"/>
      <c r="CS48" s="1013"/>
      <c r="CT48" s="1013"/>
      <c r="CU48" s="1013"/>
      <c r="CV48" s="1013"/>
      <c r="CW48" s="1013"/>
      <c r="CX48" s="1013"/>
      <c r="CY48" s="1013"/>
      <c r="CZ48" s="1013"/>
      <c r="DA48" s="1013"/>
      <c r="DB48" s="1013"/>
      <c r="DC48" s="1013"/>
      <c r="DD48" s="1013"/>
      <c r="DE48" s="1013"/>
      <c r="DF48" s="1013"/>
      <c r="DG48" s="1013"/>
      <c r="DH48" s="1013"/>
      <c r="DI48" s="1013"/>
      <c r="DJ48" s="1013"/>
      <c r="DK48" s="1013"/>
      <c r="DL48" s="1013"/>
      <c r="DM48" s="1013"/>
      <c r="DN48" s="1013"/>
      <c r="DO48" s="1013"/>
      <c r="DP48" s="1013"/>
      <c r="DQ48" s="1013"/>
      <c r="DR48" s="1013"/>
      <c r="DS48" s="1013"/>
      <c r="DT48" s="1013"/>
      <c r="DU48" s="1013"/>
      <c r="DV48" s="1013"/>
      <c r="DW48" s="1013"/>
      <c r="DX48" s="1013"/>
      <c r="DY48" s="1013"/>
      <c r="DZ48" s="1013"/>
      <c r="EA48" s="1013"/>
      <c r="EB48" s="1013"/>
      <c r="EC48" s="1013"/>
      <c r="ED48" s="1013"/>
      <c r="EE48" s="1013"/>
      <c r="EF48" s="1013"/>
      <c r="EG48" s="1013"/>
      <c r="EH48" s="1013"/>
      <c r="EI48" s="1013"/>
      <c r="EJ48" s="1013"/>
      <c r="EK48" s="1013"/>
      <c r="EL48" s="1013"/>
      <c r="EM48" s="1013"/>
      <c r="EN48" s="1013"/>
      <c r="EO48" s="1013"/>
      <c r="EP48" s="1013"/>
      <c r="EQ48" s="1013"/>
      <c r="ER48" s="1013"/>
      <c r="ES48" s="1013"/>
      <c r="ET48" s="1013"/>
      <c r="EU48" s="1013"/>
      <c r="EV48" s="1013"/>
      <c r="EW48" s="1013"/>
      <c r="EX48" s="1013"/>
      <c r="EY48" s="1013"/>
      <c r="EZ48" s="1013"/>
      <c r="FA48" s="1013"/>
      <c r="FB48" s="1013"/>
      <c r="FC48" s="1013"/>
      <c r="FD48" s="1013"/>
      <c r="FE48" s="1013"/>
      <c r="FF48" s="1013"/>
      <c r="FG48" s="1013"/>
      <c r="FH48" s="1013"/>
      <c r="FI48" s="1013"/>
      <c r="FJ48" s="1013"/>
      <c r="FK48" s="1013"/>
      <c r="FL48" s="1013"/>
      <c r="FM48" s="1013"/>
      <c r="FN48" s="1013"/>
      <c r="FO48" s="1013"/>
      <c r="FP48" s="1013"/>
      <c r="FQ48" s="1013"/>
      <c r="FR48" s="1013"/>
      <c r="FS48" s="1013"/>
      <c r="FT48" s="1013"/>
      <c r="FU48" s="1013"/>
      <c r="FV48" s="1013"/>
      <c r="FW48" s="1013"/>
      <c r="FX48" s="1013"/>
      <c r="FY48" s="1013"/>
      <c r="FZ48" s="1013"/>
      <c r="GA48" s="1013"/>
      <c r="GB48" s="1013"/>
      <c r="GC48" s="1013"/>
      <c r="GD48" s="1013"/>
      <c r="GE48" s="1013"/>
      <c r="GF48" s="1013"/>
      <c r="GG48" s="1013"/>
      <c r="GH48" s="1013"/>
      <c r="GI48" s="1013"/>
      <c r="GJ48" s="1013"/>
      <c r="GK48" s="1013"/>
      <c r="GL48" s="1013"/>
      <c r="GM48" s="1013"/>
      <c r="GN48" s="1013"/>
      <c r="GO48" s="1013"/>
      <c r="GP48" s="1013"/>
      <c r="GQ48" s="1013"/>
      <c r="GR48" s="1013"/>
      <c r="GS48" s="1013"/>
      <c r="GT48" s="1013"/>
      <c r="GU48" s="1013"/>
      <c r="GV48" s="1013"/>
      <c r="GW48" s="1013"/>
      <c r="GX48" s="1013"/>
      <c r="GY48" s="1013"/>
      <c r="GZ48" s="1013"/>
      <c r="HA48" s="1013"/>
    </row>
    <row r="49" spans="1:209" s="1015" customFormat="1" ht="30.75" customHeight="1">
      <c r="A49" s="966"/>
      <c r="B49" s="967"/>
      <c r="C49" s="964"/>
      <c r="D49" s="963"/>
      <c r="E49" s="950"/>
      <c r="F49" s="963"/>
      <c r="G49" s="963"/>
      <c r="H49" s="963"/>
      <c r="I49" s="963"/>
      <c r="J49" s="963"/>
      <c r="K49" s="963"/>
      <c r="L49" s="963"/>
      <c r="M49" s="963"/>
      <c r="N49" s="963"/>
      <c r="O49" s="963"/>
      <c r="P49" s="963"/>
      <c r="Q49" s="966" t="s">
        <v>1182</v>
      </c>
      <c r="R49" s="963"/>
      <c r="S49" s="963"/>
      <c r="T49" s="963"/>
      <c r="U49" s="963"/>
      <c r="V49" s="963"/>
      <c r="W49" s="963"/>
      <c r="X49" s="963"/>
      <c r="Y49" s="963"/>
      <c r="Z49" s="963"/>
      <c r="AA49" s="963"/>
      <c r="AB49" s="963"/>
      <c r="AC49" s="963"/>
      <c r="AD49" s="963"/>
      <c r="AE49" s="963"/>
      <c r="AF49" s="963"/>
      <c r="AG49" s="963"/>
      <c r="AH49" s="963"/>
      <c r="AI49" s="1013"/>
      <c r="AJ49" s="1013"/>
      <c r="AK49" s="1014"/>
      <c r="AL49" s="1014"/>
      <c r="AM49" s="1003"/>
      <c r="AN49" s="1003"/>
      <c r="AO49" s="1003"/>
      <c r="AP49" s="1003"/>
      <c r="AQ49" s="1003"/>
      <c r="AR49" s="1003"/>
      <c r="AS49" s="1003"/>
      <c r="AT49" s="1003"/>
      <c r="AU49" s="1003"/>
      <c r="AV49" s="1003"/>
      <c r="AW49" s="1003"/>
      <c r="AX49" s="1003"/>
      <c r="AY49" s="1003"/>
      <c r="AZ49" s="1003"/>
      <c r="BA49" s="1003"/>
      <c r="BB49" s="1003"/>
      <c r="BC49" s="1003"/>
      <c r="BD49" s="1003"/>
      <c r="BE49" s="1003"/>
      <c r="BF49" s="1003"/>
      <c r="BG49" s="1003"/>
      <c r="BH49" s="1003"/>
      <c r="BI49" s="1003"/>
      <c r="BJ49" s="1003"/>
      <c r="BK49" s="1003"/>
      <c r="BL49" s="1003"/>
      <c r="BM49" s="1003"/>
      <c r="BN49" s="1003"/>
      <c r="BO49" s="1003"/>
      <c r="BP49" s="1003"/>
      <c r="BQ49" s="1003"/>
      <c r="BR49" s="1003"/>
      <c r="BS49" s="1003"/>
      <c r="BT49" s="1003"/>
      <c r="BU49" s="1003"/>
      <c r="BV49" s="1003"/>
      <c r="BW49" s="1003"/>
      <c r="BX49" s="1003"/>
      <c r="BY49" s="1003"/>
      <c r="BZ49" s="1003"/>
      <c r="CA49" s="1003"/>
      <c r="CB49" s="1003"/>
      <c r="CC49" s="1003"/>
      <c r="CD49" s="1003"/>
      <c r="CE49" s="1003"/>
      <c r="CF49" s="1003"/>
      <c r="CG49" s="1003"/>
      <c r="CH49" s="1003"/>
      <c r="CI49" s="1003"/>
      <c r="CJ49" s="1003"/>
      <c r="CK49" s="1003"/>
      <c r="CL49" s="1003"/>
      <c r="CM49" s="1003"/>
      <c r="CN49" s="1003"/>
      <c r="CO49" s="1003"/>
      <c r="CP49" s="1003"/>
      <c r="CQ49" s="1003"/>
      <c r="CR49" s="1003"/>
      <c r="CS49" s="1003"/>
      <c r="CT49" s="1003"/>
      <c r="CU49" s="1003"/>
      <c r="CV49" s="1003"/>
      <c r="CW49" s="1003"/>
      <c r="CX49" s="1003"/>
      <c r="CY49" s="1003"/>
      <c r="CZ49" s="1003"/>
      <c r="DA49" s="1003"/>
      <c r="DB49" s="1003"/>
      <c r="DC49" s="1003"/>
      <c r="DD49" s="1003"/>
      <c r="DE49" s="1003"/>
      <c r="DF49" s="1003"/>
      <c r="DG49" s="1003"/>
      <c r="DH49" s="1003"/>
      <c r="DI49" s="1003"/>
      <c r="DJ49" s="1003"/>
      <c r="DK49" s="1003"/>
      <c r="DL49" s="1003"/>
      <c r="DM49" s="1003"/>
      <c r="DN49" s="1003"/>
      <c r="DO49" s="1003"/>
      <c r="DP49" s="1003"/>
      <c r="DQ49" s="1003"/>
      <c r="DR49" s="1003"/>
      <c r="DS49" s="1003"/>
      <c r="DT49" s="1003"/>
      <c r="DU49" s="1003"/>
      <c r="DV49" s="1003"/>
      <c r="DW49" s="1003"/>
      <c r="DX49" s="1003"/>
      <c r="DY49" s="1003"/>
      <c r="DZ49" s="1003"/>
      <c r="EA49" s="1003"/>
      <c r="EB49" s="1003"/>
      <c r="EC49" s="1003"/>
      <c r="ED49" s="1003"/>
      <c r="EE49" s="1003"/>
      <c r="EF49" s="1003"/>
      <c r="EG49" s="1003"/>
      <c r="EH49" s="1003"/>
      <c r="EI49" s="1003"/>
      <c r="EJ49" s="1003"/>
      <c r="EK49" s="1003"/>
      <c r="EL49" s="1003"/>
      <c r="EM49" s="1003"/>
      <c r="EN49" s="1003"/>
      <c r="EO49" s="1003"/>
      <c r="EP49" s="1003"/>
      <c r="EQ49" s="1003"/>
      <c r="ER49" s="1003"/>
      <c r="ES49" s="1003"/>
      <c r="ET49" s="1003"/>
      <c r="EU49" s="1003"/>
      <c r="EV49" s="1003"/>
      <c r="EW49" s="1003"/>
      <c r="EX49" s="1003"/>
      <c r="EY49" s="1003"/>
      <c r="EZ49" s="1003"/>
      <c r="FA49" s="1003"/>
      <c r="FB49" s="1003"/>
      <c r="FC49" s="1003"/>
      <c r="FD49" s="1003"/>
      <c r="FE49" s="1003"/>
      <c r="FF49" s="1003"/>
      <c r="FG49" s="1003"/>
      <c r="FH49" s="1003"/>
      <c r="FI49" s="1003"/>
      <c r="FJ49" s="1003"/>
      <c r="FK49" s="1003"/>
      <c r="FL49" s="1003"/>
      <c r="FM49" s="1003"/>
      <c r="FN49" s="1003"/>
      <c r="FO49" s="1003"/>
      <c r="FP49" s="1003"/>
      <c r="FQ49" s="1003"/>
      <c r="FR49" s="1003"/>
      <c r="FS49" s="1003"/>
      <c r="FT49" s="1003"/>
      <c r="FU49" s="1003"/>
      <c r="FV49" s="1003"/>
      <c r="FW49" s="1003"/>
      <c r="FX49" s="1003"/>
      <c r="FY49" s="1003"/>
      <c r="FZ49" s="1003"/>
      <c r="GA49" s="1003"/>
      <c r="GB49" s="1003"/>
      <c r="GC49" s="1003"/>
      <c r="GD49" s="1003"/>
      <c r="GE49" s="1003"/>
      <c r="GF49" s="1003"/>
      <c r="GG49" s="1003"/>
      <c r="GH49" s="1003"/>
      <c r="GI49" s="1003"/>
      <c r="GJ49" s="1003"/>
      <c r="GK49" s="1003"/>
      <c r="GL49" s="1003"/>
      <c r="GM49" s="1003"/>
      <c r="GN49" s="1003"/>
      <c r="GO49" s="1003"/>
      <c r="GP49" s="1003"/>
      <c r="GQ49" s="1003"/>
      <c r="GR49" s="1003"/>
      <c r="GS49" s="1003"/>
      <c r="GT49" s="1003"/>
      <c r="GU49" s="1003"/>
      <c r="GV49" s="1003"/>
      <c r="GW49" s="1003"/>
      <c r="GX49" s="1003"/>
      <c r="GY49" s="1003"/>
      <c r="GZ49" s="1003"/>
      <c r="HA49" s="1003"/>
    </row>
    <row r="50" spans="1:209" s="1015" customFormat="1" ht="42" customHeight="1">
      <c r="A50" s="962">
        <v>1</v>
      </c>
      <c r="B50" s="969" t="s">
        <v>717</v>
      </c>
      <c r="C50" s="952" t="s">
        <v>718</v>
      </c>
      <c r="D50" s="950" t="s">
        <v>153</v>
      </c>
      <c r="E50" s="950">
        <v>1</v>
      </c>
      <c r="F50" s="958" t="s">
        <v>685</v>
      </c>
      <c r="G50" s="956">
        <v>5.8</v>
      </c>
      <c r="H50" s="957">
        <v>17697</v>
      </c>
      <c r="I50" s="955">
        <v>2</v>
      </c>
      <c r="J50" s="958"/>
      <c r="K50" s="958">
        <f t="shared" ref="K50:K87" si="63">H50*G50*E50*I50</f>
        <v>205285.19999999998</v>
      </c>
      <c r="L50" s="963"/>
      <c r="M50" s="963"/>
      <c r="N50" s="963"/>
      <c r="O50" s="963"/>
      <c r="P50" s="963"/>
      <c r="Q50" s="966"/>
      <c r="R50" s="963"/>
      <c r="S50" s="963"/>
      <c r="T50" s="963"/>
      <c r="U50" s="963"/>
      <c r="V50" s="963"/>
      <c r="W50" s="963"/>
      <c r="X50" s="963"/>
      <c r="Y50" s="958">
        <v>80</v>
      </c>
      <c r="Z50" s="959">
        <f>Y50*350%</f>
        <v>280</v>
      </c>
      <c r="AA50" s="959">
        <f>K50*Z50%</f>
        <v>574798.55999999994</v>
      </c>
      <c r="AB50" s="963"/>
      <c r="AC50" s="963"/>
      <c r="AD50" s="958">
        <f>K50*0.1</f>
        <v>20528.52</v>
      </c>
      <c r="AE50" s="958">
        <f>K50+N50+O50+Q50+S50+U50+W50+X50+AA50+AD50+AC50</f>
        <v>800612.27999999991</v>
      </c>
      <c r="AF50" s="958">
        <f t="shared" ref="AF50:AF87" si="64">AE50*12</f>
        <v>9607347.3599999994</v>
      </c>
      <c r="AG50" s="958">
        <f t="shared" ref="AG50:AG87" si="65">K50</f>
        <v>205285.19999999998</v>
      </c>
      <c r="AH50" s="958">
        <f>(AE50*12)+AG50</f>
        <v>9812632.5599999987</v>
      </c>
      <c r="AI50" s="1013"/>
      <c r="AJ50" s="1013"/>
      <c r="AK50" s="1014"/>
      <c r="AL50" s="1014"/>
      <c r="AM50" s="1003"/>
      <c r="AN50" s="1003"/>
      <c r="AO50" s="1003"/>
      <c r="AP50" s="1003"/>
      <c r="AQ50" s="1003"/>
      <c r="AR50" s="1003"/>
      <c r="AS50" s="1003"/>
      <c r="AT50" s="1003"/>
      <c r="AU50" s="1003"/>
      <c r="AV50" s="1003"/>
      <c r="AW50" s="1003"/>
      <c r="AX50" s="1003"/>
      <c r="AY50" s="1003"/>
      <c r="AZ50" s="1003"/>
      <c r="BA50" s="1003"/>
      <c r="BB50" s="1003"/>
      <c r="BC50" s="1003"/>
      <c r="BD50" s="1003"/>
      <c r="BE50" s="1003"/>
      <c r="BF50" s="1003"/>
      <c r="BG50" s="1003"/>
      <c r="BH50" s="1003"/>
      <c r="BI50" s="1003"/>
      <c r="BJ50" s="1003"/>
      <c r="BK50" s="1003"/>
      <c r="BL50" s="1003"/>
      <c r="BM50" s="1003"/>
      <c r="BN50" s="1003"/>
      <c r="BO50" s="1003"/>
      <c r="BP50" s="1003"/>
      <c r="BQ50" s="1003"/>
      <c r="BR50" s="1003"/>
      <c r="BS50" s="1003"/>
      <c r="BT50" s="1003"/>
      <c r="BU50" s="1003"/>
      <c r="BV50" s="1003"/>
      <c r="BW50" s="1003"/>
      <c r="BX50" s="1003"/>
      <c r="BY50" s="1003"/>
      <c r="BZ50" s="1003"/>
      <c r="CA50" s="1003"/>
      <c r="CB50" s="1003"/>
      <c r="CC50" s="1003"/>
      <c r="CD50" s="1003"/>
      <c r="CE50" s="1003"/>
      <c r="CF50" s="1003"/>
      <c r="CG50" s="1003"/>
      <c r="CH50" s="1003"/>
      <c r="CI50" s="1003"/>
      <c r="CJ50" s="1003"/>
      <c r="CK50" s="1003"/>
      <c r="CL50" s="1003"/>
      <c r="CM50" s="1003"/>
      <c r="CN50" s="1003"/>
      <c r="CO50" s="1003"/>
      <c r="CP50" s="1003"/>
      <c r="CQ50" s="1003"/>
      <c r="CR50" s="1003"/>
      <c r="CS50" s="1003"/>
      <c r="CT50" s="1003"/>
      <c r="CU50" s="1003"/>
      <c r="CV50" s="1003"/>
      <c r="CW50" s="1003"/>
      <c r="CX50" s="1003"/>
      <c r="CY50" s="1003"/>
      <c r="CZ50" s="1003"/>
      <c r="DA50" s="1003"/>
      <c r="DB50" s="1003"/>
      <c r="DC50" s="1003"/>
      <c r="DD50" s="1003"/>
      <c r="DE50" s="1003"/>
      <c r="DF50" s="1003"/>
      <c r="DG50" s="1003"/>
      <c r="DH50" s="1003"/>
      <c r="DI50" s="1003"/>
      <c r="DJ50" s="1003"/>
      <c r="DK50" s="1003"/>
      <c r="DL50" s="1003"/>
      <c r="DM50" s="1003"/>
      <c r="DN50" s="1003"/>
      <c r="DO50" s="1003"/>
      <c r="DP50" s="1003"/>
      <c r="DQ50" s="1003"/>
      <c r="DR50" s="1003"/>
      <c r="DS50" s="1003"/>
      <c r="DT50" s="1003"/>
      <c r="DU50" s="1003"/>
      <c r="DV50" s="1003"/>
      <c r="DW50" s="1003"/>
      <c r="DX50" s="1003"/>
      <c r="DY50" s="1003"/>
      <c r="DZ50" s="1003"/>
      <c r="EA50" s="1003"/>
      <c r="EB50" s="1003"/>
      <c r="EC50" s="1003"/>
      <c r="ED50" s="1003"/>
      <c r="EE50" s="1003"/>
      <c r="EF50" s="1003"/>
      <c r="EG50" s="1003"/>
      <c r="EH50" s="1003"/>
      <c r="EI50" s="1003"/>
      <c r="EJ50" s="1003"/>
      <c r="EK50" s="1003"/>
      <c r="EL50" s="1003"/>
      <c r="EM50" s="1003"/>
      <c r="EN50" s="1003"/>
      <c r="EO50" s="1003"/>
      <c r="EP50" s="1003"/>
      <c r="EQ50" s="1003"/>
      <c r="ER50" s="1003"/>
      <c r="ES50" s="1003"/>
      <c r="ET50" s="1003"/>
      <c r="EU50" s="1003"/>
      <c r="EV50" s="1003"/>
      <c r="EW50" s="1003"/>
      <c r="EX50" s="1003"/>
      <c r="EY50" s="1003"/>
      <c r="EZ50" s="1003"/>
      <c r="FA50" s="1003"/>
      <c r="FB50" s="1003"/>
      <c r="FC50" s="1003"/>
      <c r="FD50" s="1003"/>
      <c r="FE50" s="1003"/>
      <c r="FF50" s="1003"/>
      <c r="FG50" s="1003"/>
      <c r="FH50" s="1003"/>
      <c r="FI50" s="1003"/>
      <c r="FJ50" s="1003"/>
      <c r="FK50" s="1003"/>
      <c r="FL50" s="1003"/>
      <c r="FM50" s="1003"/>
      <c r="FN50" s="1003"/>
      <c r="FO50" s="1003"/>
      <c r="FP50" s="1003"/>
      <c r="FQ50" s="1003"/>
      <c r="FR50" s="1003"/>
      <c r="FS50" s="1003"/>
      <c r="FT50" s="1003"/>
      <c r="FU50" s="1003"/>
      <c r="FV50" s="1003"/>
      <c r="FW50" s="1003"/>
      <c r="FX50" s="1003"/>
      <c r="FY50" s="1003"/>
      <c r="FZ50" s="1003"/>
      <c r="GA50" s="1003"/>
      <c r="GB50" s="1003"/>
      <c r="GC50" s="1003"/>
      <c r="GD50" s="1003"/>
      <c r="GE50" s="1003"/>
      <c r="GF50" s="1003"/>
      <c r="GG50" s="1003"/>
      <c r="GH50" s="1003"/>
      <c r="GI50" s="1003"/>
      <c r="GJ50" s="1003"/>
      <c r="GK50" s="1003"/>
      <c r="GL50" s="1003"/>
      <c r="GM50" s="1003"/>
      <c r="GN50" s="1003"/>
      <c r="GO50" s="1003"/>
      <c r="GP50" s="1003"/>
      <c r="GQ50" s="1003"/>
      <c r="GR50" s="1003"/>
      <c r="GS50" s="1003"/>
      <c r="GT50" s="1003"/>
      <c r="GU50" s="1003"/>
      <c r="GV50" s="1003"/>
      <c r="GW50" s="1003"/>
      <c r="GX50" s="1003"/>
      <c r="GY50" s="1003"/>
      <c r="GZ50" s="1003"/>
      <c r="HA50" s="1003"/>
    </row>
    <row r="51" spans="1:209" s="1019" customFormat="1" ht="40.5" customHeight="1">
      <c r="A51" s="962">
        <v>2</v>
      </c>
      <c r="B51" s="976" t="s">
        <v>719</v>
      </c>
      <c r="C51" s="977" t="s">
        <v>720</v>
      </c>
      <c r="D51" s="978" t="s">
        <v>91</v>
      </c>
      <c r="E51" s="954">
        <v>2</v>
      </c>
      <c r="F51" s="958" t="s">
        <v>685</v>
      </c>
      <c r="G51" s="978">
        <v>5.19</v>
      </c>
      <c r="H51" s="973">
        <v>17697</v>
      </c>
      <c r="I51" s="955">
        <v>2</v>
      </c>
      <c r="J51" s="973"/>
      <c r="K51" s="958">
        <f t="shared" si="63"/>
        <v>367389.72000000003</v>
      </c>
      <c r="L51" s="973"/>
      <c r="M51" s="973"/>
      <c r="N51" s="973"/>
      <c r="O51" s="973"/>
      <c r="P51" s="973"/>
      <c r="Q51" s="973"/>
      <c r="R51" s="973"/>
      <c r="S51" s="973"/>
      <c r="T51" s="973"/>
      <c r="U51" s="973"/>
      <c r="V51" s="973"/>
      <c r="W51" s="979"/>
      <c r="X51" s="979"/>
      <c r="Y51" s="958">
        <v>100</v>
      </c>
      <c r="Z51" s="959">
        <f t="shared" ref="Z51:Z57" si="66">Y51*350%</f>
        <v>350</v>
      </c>
      <c r="AA51" s="959">
        <f t="shared" ref="AA51:AA57" si="67">K51*Z51%</f>
        <v>1285864.02</v>
      </c>
      <c r="AB51" s="979"/>
      <c r="AC51" s="979"/>
      <c r="AD51" s="958">
        <f>K51*0.1</f>
        <v>36738.972000000002</v>
      </c>
      <c r="AE51" s="958">
        <f t="shared" ref="AE51:AE90" si="68">K51+N51+O51+Q51+S51+U51+W51+X51+AA51+AD51+AC51</f>
        <v>1689992.7120000001</v>
      </c>
      <c r="AF51" s="958">
        <f t="shared" si="64"/>
        <v>20279912.544</v>
      </c>
      <c r="AG51" s="958">
        <f t="shared" si="65"/>
        <v>367389.72000000003</v>
      </c>
      <c r="AH51" s="958">
        <f t="shared" ref="AH51:AH90" si="69">(AE51*12)+AG51</f>
        <v>20647302.263999999</v>
      </c>
      <c r="AI51" s="1016">
        <v>18736875.719999999</v>
      </c>
      <c r="AJ51" s="1016">
        <f>AF51-AI51</f>
        <v>1543036.824000001</v>
      </c>
      <c r="AK51" s="1017"/>
      <c r="AL51" s="1017"/>
      <c r="AM51" s="1018"/>
      <c r="AN51" s="1018"/>
      <c r="AO51" s="1018"/>
      <c r="AP51" s="1018"/>
      <c r="AQ51" s="1018"/>
      <c r="AR51" s="1018"/>
      <c r="AS51" s="1018"/>
      <c r="AT51" s="1018"/>
      <c r="AU51" s="1018"/>
      <c r="AV51" s="1018"/>
      <c r="AW51" s="1018"/>
      <c r="AX51" s="1018"/>
      <c r="AY51" s="1018"/>
      <c r="AZ51" s="1018"/>
      <c r="BA51" s="1018"/>
      <c r="BB51" s="1018"/>
      <c r="BC51" s="1018"/>
      <c r="BD51" s="1018"/>
      <c r="BE51" s="1018"/>
      <c r="BF51" s="1018"/>
      <c r="BG51" s="1018"/>
      <c r="BH51" s="1018"/>
      <c r="BI51" s="1018"/>
      <c r="BJ51" s="1018"/>
      <c r="BK51" s="1018"/>
      <c r="BL51" s="1018"/>
      <c r="BM51" s="1018"/>
      <c r="BN51" s="1018"/>
      <c r="BO51" s="1018"/>
      <c r="BP51" s="1018"/>
      <c r="BQ51" s="1018"/>
      <c r="BR51" s="1018"/>
      <c r="BS51" s="1018"/>
      <c r="BT51" s="1018"/>
      <c r="BU51" s="1018"/>
      <c r="BV51" s="1018"/>
      <c r="BW51" s="1018"/>
      <c r="BX51" s="1018"/>
      <c r="BY51" s="1018"/>
      <c r="BZ51" s="1018"/>
      <c r="CA51" s="1018"/>
      <c r="CB51" s="1018"/>
      <c r="CC51" s="1018"/>
      <c r="CD51" s="1018"/>
      <c r="CE51" s="1018"/>
      <c r="CF51" s="1018"/>
      <c r="CG51" s="1018"/>
      <c r="CH51" s="1018"/>
      <c r="CI51" s="1018"/>
      <c r="CJ51" s="1018"/>
      <c r="CK51" s="1018"/>
      <c r="CL51" s="1018"/>
      <c r="CM51" s="1018"/>
      <c r="CN51" s="1018"/>
      <c r="CO51" s="1018"/>
      <c r="CP51" s="1018"/>
      <c r="CQ51" s="1018"/>
      <c r="CR51" s="1018"/>
      <c r="CS51" s="1018"/>
      <c r="CT51" s="1018"/>
      <c r="CU51" s="1018"/>
      <c r="CV51" s="1018"/>
      <c r="CW51" s="1018"/>
      <c r="CX51" s="1018"/>
      <c r="CY51" s="1018"/>
      <c r="CZ51" s="1018"/>
      <c r="DA51" s="1018"/>
      <c r="DB51" s="1018"/>
      <c r="DC51" s="1018"/>
      <c r="DD51" s="1018"/>
      <c r="DE51" s="1018"/>
      <c r="DF51" s="1018"/>
      <c r="DG51" s="1018"/>
      <c r="DH51" s="1018"/>
      <c r="DI51" s="1018"/>
      <c r="DJ51" s="1018"/>
      <c r="DK51" s="1018"/>
      <c r="DL51" s="1018"/>
      <c r="DM51" s="1018"/>
      <c r="DN51" s="1018"/>
      <c r="DO51" s="1018"/>
      <c r="DP51" s="1018"/>
      <c r="DQ51" s="1018"/>
      <c r="DR51" s="1018"/>
      <c r="DS51" s="1018"/>
      <c r="DT51" s="1018"/>
      <c r="DU51" s="1018"/>
      <c r="DV51" s="1018"/>
      <c r="DW51" s="1018"/>
      <c r="DX51" s="1018"/>
      <c r="DY51" s="1018"/>
      <c r="DZ51" s="1018"/>
      <c r="EA51" s="1018"/>
      <c r="EB51" s="1018"/>
      <c r="EC51" s="1018"/>
      <c r="ED51" s="1018"/>
      <c r="EE51" s="1018"/>
      <c r="EF51" s="1018"/>
      <c r="EG51" s="1018"/>
      <c r="EH51" s="1018"/>
      <c r="EI51" s="1018"/>
      <c r="EJ51" s="1018"/>
      <c r="EK51" s="1018"/>
      <c r="EL51" s="1018"/>
      <c r="EM51" s="1018"/>
      <c r="EN51" s="1018"/>
      <c r="EO51" s="1018"/>
      <c r="EP51" s="1018"/>
      <c r="EQ51" s="1018"/>
      <c r="ER51" s="1018"/>
      <c r="ES51" s="1018"/>
      <c r="ET51" s="1018"/>
      <c r="EU51" s="1018"/>
      <c r="EV51" s="1018"/>
      <c r="EW51" s="1018"/>
      <c r="EX51" s="1018"/>
      <c r="EY51" s="1018"/>
      <c r="EZ51" s="1018"/>
      <c r="FA51" s="1018"/>
      <c r="FB51" s="1018"/>
      <c r="FC51" s="1018"/>
      <c r="FD51" s="1018"/>
      <c r="FE51" s="1018"/>
      <c r="FF51" s="1018"/>
      <c r="FG51" s="1018"/>
      <c r="FH51" s="1018"/>
      <c r="FI51" s="1018"/>
      <c r="FJ51" s="1018"/>
      <c r="FK51" s="1018"/>
      <c r="FL51" s="1018"/>
      <c r="FM51" s="1018"/>
      <c r="FN51" s="1018"/>
      <c r="FO51" s="1018"/>
      <c r="FP51" s="1018"/>
      <c r="FQ51" s="1018"/>
      <c r="FR51" s="1018"/>
      <c r="FS51" s="1018"/>
      <c r="FT51" s="1018"/>
      <c r="FU51" s="1018"/>
      <c r="FV51" s="1018"/>
      <c r="FW51" s="1018"/>
      <c r="FX51" s="1018"/>
      <c r="FY51" s="1018"/>
      <c r="FZ51" s="1018"/>
      <c r="GA51" s="1018"/>
      <c r="GB51" s="1018"/>
      <c r="GC51" s="1018"/>
      <c r="GD51" s="1018"/>
      <c r="GE51" s="1018"/>
      <c r="GF51" s="1018"/>
      <c r="GG51" s="1018"/>
      <c r="GH51" s="1018"/>
      <c r="GI51" s="1018"/>
      <c r="GJ51" s="1018"/>
      <c r="GK51" s="1018"/>
      <c r="GL51" s="1018"/>
      <c r="GM51" s="1018"/>
      <c r="GN51" s="1018"/>
      <c r="GO51" s="1018"/>
      <c r="GP51" s="1018"/>
      <c r="GQ51" s="1018"/>
      <c r="GR51" s="1018"/>
      <c r="GS51" s="1018"/>
      <c r="GT51" s="1018"/>
      <c r="GU51" s="1018"/>
      <c r="GV51" s="1018"/>
      <c r="GW51" s="1018"/>
      <c r="GX51" s="1018"/>
      <c r="GY51" s="1018"/>
      <c r="GZ51" s="1018"/>
      <c r="HA51" s="1018"/>
    </row>
    <row r="52" spans="1:209" s="1019" customFormat="1" ht="36.75" customHeight="1">
      <c r="A52" s="962">
        <v>3</v>
      </c>
      <c r="B52" s="976" t="s">
        <v>719</v>
      </c>
      <c r="C52" s="980" t="s">
        <v>870</v>
      </c>
      <c r="D52" s="978" t="s">
        <v>91</v>
      </c>
      <c r="E52" s="954">
        <v>1</v>
      </c>
      <c r="F52" s="958" t="s">
        <v>80</v>
      </c>
      <c r="G52" s="978">
        <v>5.0199999999999996</v>
      </c>
      <c r="H52" s="973">
        <v>17697</v>
      </c>
      <c r="I52" s="955">
        <v>2</v>
      </c>
      <c r="J52" s="973"/>
      <c r="K52" s="958">
        <f t="shared" si="63"/>
        <v>177677.87999999998</v>
      </c>
      <c r="L52" s="973"/>
      <c r="M52" s="973"/>
      <c r="N52" s="973"/>
      <c r="O52" s="973"/>
      <c r="P52" s="973"/>
      <c r="Q52" s="973"/>
      <c r="R52" s="973"/>
      <c r="S52" s="973"/>
      <c r="T52" s="973"/>
      <c r="U52" s="973"/>
      <c r="V52" s="973"/>
      <c r="W52" s="979"/>
      <c r="X52" s="979"/>
      <c r="Y52" s="958">
        <v>100</v>
      </c>
      <c r="Z52" s="959">
        <f t="shared" si="66"/>
        <v>350</v>
      </c>
      <c r="AA52" s="959">
        <f t="shared" si="67"/>
        <v>621872.57999999996</v>
      </c>
      <c r="AB52" s="979"/>
      <c r="AC52" s="979"/>
      <c r="AD52" s="958">
        <f t="shared" ref="AD52:AD87" si="70">K52*0.1</f>
        <v>17767.787999999997</v>
      </c>
      <c r="AE52" s="958">
        <f t="shared" si="68"/>
        <v>817318.24799999991</v>
      </c>
      <c r="AF52" s="958">
        <f t="shared" si="64"/>
        <v>9807818.9759999998</v>
      </c>
      <c r="AG52" s="958">
        <f t="shared" si="65"/>
        <v>177677.87999999998</v>
      </c>
      <c r="AH52" s="958">
        <f t="shared" si="69"/>
        <v>9985496.8560000006</v>
      </c>
      <c r="AI52" s="1016">
        <v>9061571.879999999</v>
      </c>
      <c r="AJ52" s="1016">
        <f t="shared" ref="AJ52:AJ55" si="71">AF52-AI52</f>
        <v>746247.09600000083</v>
      </c>
      <c r="AK52" s="1017"/>
      <c r="AL52" s="1017"/>
      <c r="AM52" s="1018"/>
      <c r="AN52" s="1018"/>
      <c r="AO52" s="1018"/>
      <c r="AP52" s="1018"/>
      <c r="AQ52" s="1018"/>
      <c r="AR52" s="1018"/>
      <c r="AS52" s="1018"/>
      <c r="AT52" s="1018"/>
      <c r="AU52" s="1018"/>
      <c r="AV52" s="1018"/>
      <c r="AW52" s="1018"/>
      <c r="AX52" s="1018"/>
      <c r="AY52" s="1018"/>
      <c r="AZ52" s="1018"/>
      <c r="BA52" s="1018"/>
      <c r="BB52" s="1018"/>
      <c r="BC52" s="1018"/>
      <c r="BD52" s="1018"/>
      <c r="BE52" s="1018"/>
      <c r="BF52" s="1018"/>
      <c r="BG52" s="1018"/>
      <c r="BH52" s="1018"/>
      <c r="BI52" s="1018"/>
      <c r="BJ52" s="1018"/>
      <c r="BK52" s="1018"/>
      <c r="BL52" s="1018"/>
      <c r="BM52" s="1018"/>
      <c r="BN52" s="1018"/>
      <c r="BO52" s="1018"/>
      <c r="BP52" s="1018"/>
      <c r="BQ52" s="1018"/>
      <c r="BR52" s="1018"/>
      <c r="BS52" s="1018"/>
      <c r="BT52" s="1018"/>
      <c r="BU52" s="1018"/>
      <c r="BV52" s="1018"/>
      <c r="BW52" s="1018"/>
      <c r="BX52" s="1018"/>
      <c r="BY52" s="1018"/>
      <c r="BZ52" s="1018"/>
      <c r="CA52" s="1018"/>
      <c r="CB52" s="1018"/>
      <c r="CC52" s="1018"/>
      <c r="CD52" s="1018"/>
      <c r="CE52" s="1018"/>
      <c r="CF52" s="1018"/>
      <c r="CG52" s="1018"/>
      <c r="CH52" s="1018"/>
      <c r="CI52" s="1018"/>
      <c r="CJ52" s="1018"/>
      <c r="CK52" s="1018"/>
      <c r="CL52" s="1018"/>
      <c r="CM52" s="1018"/>
      <c r="CN52" s="1018"/>
      <c r="CO52" s="1018"/>
      <c r="CP52" s="1018"/>
      <c r="CQ52" s="1018"/>
      <c r="CR52" s="1018"/>
      <c r="CS52" s="1018"/>
      <c r="CT52" s="1018"/>
      <c r="CU52" s="1018"/>
      <c r="CV52" s="1018"/>
      <c r="CW52" s="1018"/>
      <c r="CX52" s="1018"/>
      <c r="CY52" s="1018"/>
      <c r="CZ52" s="1018"/>
      <c r="DA52" s="1018"/>
      <c r="DB52" s="1018"/>
      <c r="DC52" s="1018"/>
      <c r="DD52" s="1018"/>
      <c r="DE52" s="1018"/>
      <c r="DF52" s="1018"/>
      <c r="DG52" s="1018"/>
      <c r="DH52" s="1018"/>
      <c r="DI52" s="1018"/>
      <c r="DJ52" s="1018"/>
      <c r="DK52" s="1018"/>
      <c r="DL52" s="1018"/>
      <c r="DM52" s="1018"/>
      <c r="DN52" s="1018"/>
      <c r="DO52" s="1018"/>
      <c r="DP52" s="1018"/>
      <c r="DQ52" s="1018"/>
      <c r="DR52" s="1018"/>
      <c r="DS52" s="1018"/>
      <c r="DT52" s="1018"/>
      <c r="DU52" s="1018"/>
      <c r="DV52" s="1018"/>
      <c r="DW52" s="1018"/>
      <c r="DX52" s="1018"/>
      <c r="DY52" s="1018"/>
      <c r="DZ52" s="1018"/>
      <c r="EA52" s="1018"/>
      <c r="EB52" s="1018"/>
      <c r="EC52" s="1018"/>
      <c r="ED52" s="1018"/>
      <c r="EE52" s="1018"/>
      <c r="EF52" s="1018"/>
      <c r="EG52" s="1018"/>
      <c r="EH52" s="1018"/>
      <c r="EI52" s="1018"/>
      <c r="EJ52" s="1018"/>
      <c r="EK52" s="1018"/>
      <c r="EL52" s="1018"/>
      <c r="EM52" s="1018"/>
      <c r="EN52" s="1018"/>
      <c r="EO52" s="1018"/>
      <c r="EP52" s="1018"/>
      <c r="EQ52" s="1018"/>
      <c r="ER52" s="1018"/>
      <c r="ES52" s="1018"/>
      <c r="ET52" s="1018"/>
      <c r="EU52" s="1018"/>
      <c r="EV52" s="1018"/>
      <c r="EW52" s="1018"/>
      <c r="EX52" s="1018"/>
      <c r="EY52" s="1018"/>
      <c r="EZ52" s="1018"/>
      <c r="FA52" s="1018"/>
      <c r="FB52" s="1018"/>
      <c r="FC52" s="1018"/>
      <c r="FD52" s="1018"/>
      <c r="FE52" s="1018"/>
      <c r="FF52" s="1018"/>
      <c r="FG52" s="1018"/>
      <c r="FH52" s="1018"/>
      <c r="FI52" s="1018"/>
      <c r="FJ52" s="1018"/>
      <c r="FK52" s="1018"/>
      <c r="FL52" s="1018"/>
      <c r="FM52" s="1018"/>
      <c r="FN52" s="1018"/>
      <c r="FO52" s="1018"/>
      <c r="FP52" s="1018"/>
      <c r="FQ52" s="1018"/>
      <c r="FR52" s="1018"/>
      <c r="FS52" s="1018"/>
      <c r="FT52" s="1018"/>
      <c r="FU52" s="1018"/>
      <c r="FV52" s="1018"/>
      <c r="FW52" s="1018"/>
      <c r="FX52" s="1018"/>
      <c r="FY52" s="1018"/>
      <c r="FZ52" s="1018"/>
      <c r="GA52" s="1018"/>
      <c r="GB52" s="1018"/>
      <c r="GC52" s="1018"/>
      <c r="GD52" s="1018"/>
      <c r="GE52" s="1018"/>
      <c r="GF52" s="1018"/>
      <c r="GG52" s="1018"/>
      <c r="GH52" s="1018"/>
      <c r="GI52" s="1018"/>
      <c r="GJ52" s="1018"/>
      <c r="GK52" s="1018"/>
      <c r="GL52" s="1018"/>
      <c r="GM52" s="1018"/>
      <c r="GN52" s="1018"/>
      <c r="GO52" s="1018"/>
      <c r="GP52" s="1018"/>
      <c r="GQ52" s="1018"/>
      <c r="GR52" s="1018"/>
      <c r="GS52" s="1018"/>
      <c r="GT52" s="1018"/>
      <c r="GU52" s="1018"/>
      <c r="GV52" s="1018"/>
      <c r="GW52" s="1018"/>
      <c r="GX52" s="1018"/>
      <c r="GY52" s="1018"/>
      <c r="GZ52" s="1018"/>
      <c r="HA52" s="1018"/>
    </row>
    <row r="53" spans="1:209" s="1019" customFormat="1" ht="36.75" customHeight="1">
      <c r="A53" s="962">
        <v>4</v>
      </c>
      <c r="B53" s="976" t="s">
        <v>719</v>
      </c>
      <c r="C53" s="980" t="s">
        <v>870</v>
      </c>
      <c r="D53" s="978" t="s">
        <v>91</v>
      </c>
      <c r="E53" s="954">
        <v>1</v>
      </c>
      <c r="F53" s="958" t="s">
        <v>721</v>
      </c>
      <c r="G53" s="978">
        <v>4.72</v>
      </c>
      <c r="H53" s="973">
        <v>17697</v>
      </c>
      <c r="I53" s="955">
        <v>2</v>
      </c>
      <c r="J53" s="973"/>
      <c r="K53" s="958">
        <f t="shared" si="63"/>
        <v>167059.68</v>
      </c>
      <c r="L53" s="973"/>
      <c r="M53" s="973"/>
      <c r="N53" s="973"/>
      <c r="O53" s="973"/>
      <c r="P53" s="973"/>
      <c r="Q53" s="973"/>
      <c r="R53" s="973"/>
      <c r="S53" s="973"/>
      <c r="T53" s="973"/>
      <c r="U53" s="973"/>
      <c r="V53" s="973"/>
      <c r="W53" s="979"/>
      <c r="X53" s="979"/>
      <c r="Y53" s="958">
        <v>100</v>
      </c>
      <c r="Z53" s="959">
        <f t="shared" si="66"/>
        <v>350</v>
      </c>
      <c r="AA53" s="959">
        <f t="shared" si="67"/>
        <v>584708.88</v>
      </c>
      <c r="AB53" s="979"/>
      <c r="AC53" s="979"/>
      <c r="AD53" s="958">
        <f t="shared" si="70"/>
        <v>16705.968000000001</v>
      </c>
      <c r="AE53" s="958">
        <f t="shared" si="68"/>
        <v>768474.52800000005</v>
      </c>
      <c r="AF53" s="958">
        <f t="shared" si="64"/>
        <v>9221694.3360000011</v>
      </c>
      <c r="AG53" s="958">
        <f t="shared" si="65"/>
        <v>167059.68</v>
      </c>
      <c r="AH53" s="958">
        <f t="shared" si="69"/>
        <v>9388754.0160000008</v>
      </c>
      <c r="AI53" s="1016">
        <v>8520043.6799999997</v>
      </c>
      <c r="AJ53" s="1016">
        <f t="shared" si="71"/>
        <v>701650.65600000136</v>
      </c>
      <c r="AK53" s="1017"/>
      <c r="AL53" s="1017"/>
      <c r="AM53" s="1018"/>
      <c r="AN53" s="1018"/>
      <c r="AO53" s="1018"/>
      <c r="AP53" s="1018"/>
      <c r="AQ53" s="1018"/>
      <c r="AR53" s="1018"/>
      <c r="AS53" s="1018"/>
      <c r="AT53" s="1018"/>
      <c r="AU53" s="1018"/>
      <c r="AV53" s="1018"/>
      <c r="AW53" s="1018"/>
      <c r="AX53" s="1018"/>
      <c r="AY53" s="1018"/>
      <c r="AZ53" s="1018"/>
      <c r="BA53" s="1018"/>
      <c r="BB53" s="1018"/>
      <c r="BC53" s="1018"/>
      <c r="BD53" s="1018"/>
      <c r="BE53" s="1018"/>
      <c r="BF53" s="1018"/>
      <c r="BG53" s="1018"/>
      <c r="BH53" s="1018"/>
      <c r="BI53" s="1018"/>
      <c r="BJ53" s="1018"/>
      <c r="BK53" s="1018"/>
      <c r="BL53" s="1018"/>
      <c r="BM53" s="1018"/>
      <c r="BN53" s="1018"/>
      <c r="BO53" s="1018"/>
      <c r="BP53" s="1018"/>
      <c r="BQ53" s="1018"/>
      <c r="BR53" s="1018"/>
      <c r="BS53" s="1018"/>
      <c r="BT53" s="1018"/>
      <c r="BU53" s="1018"/>
      <c r="BV53" s="1018"/>
      <c r="BW53" s="1018"/>
      <c r="BX53" s="1018"/>
      <c r="BY53" s="1018"/>
      <c r="BZ53" s="1018"/>
      <c r="CA53" s="1018"/>
      <c r="CB53" s="1018"/>
      <c r="CC53" s="1018"/>
      <c r="CD53" s="1018"/>
      <c r="CE53" s="1018"/>
      <c r="CF53" s="1018"/>
      <c r="CG53" s="1018"/>
      <c r="CH53" s="1018"/>
      <c r="CI53" s="1018"/>
      <c r="CJ53" s="1018"/>
      <c r="CK53" s="1018"/>
      <c r="CL53" s="1018"/>
      <c r="CM53" s="1018"/>
      <c r="CN53" s="1018"/>
      <c r="CO53" s="1018"/>
      <c r="CP53" s="1018"/>
      <c r="CQ53" s="1018"/>
      <c r="CR53" s="1018"/>
      <c r="CS53" s="1018"/>
      <c r="CT53" s="1018"/>
      <c r="CU53" s="1018"/>
      <c r="CV53" s="1018"/>
      <c r="CW53" s="1018"/>
      <c r="CX53" s="1018"/>
      <c r="CY53" s="1018"/>
      <c r="CZ53" s="1018"/>
      <c r="DA53" s="1018"/>
      <c r="DB53" s="1018"/>
      <c r="DC53" s="1018"/>
      <c r="DD53" s="1018"/>
      <c r="DE53" s="1018"/>
      <c r="DF53" s="1018"/>
      <c r="DG53" s="1018"/>
      <c r="DH53" s="1018"/>
      <c r="DI53" s="1018"/>
      <c r="DJ53" s="1018"/>
      <c r="DK53" s="1018"/>
      <c r="DL53" s="1018"/>
      <c r="DM53" s="1018"/>
      <c r="DN53" s="1018"/>
      <c r="DO53" s="1018"/>
      <c r="DP53" s="1018"/>
      <c r="DQ53" s="1018"/>
      <c r="DR53" s="1018"/>
      <c r="DS53" s="1018"/>
      <c r="DT53" s="1018"/>
      <c r="DU53" s="1018"/>
      <c r="DV53" s="1018"/>
      <c r="DW53" s="1018"/>
      <c r="DX53" s="1018"/>
      <c r="DY53" s="1018"/>
      <c r="DZ53" s="1018"/>
      <c r="EA53" s="1018"/>
      <c r="EB53" s="1018"/>
      <c r="EC53" s="1018"/>
      <c r="ED53" s="1018"/>
      <c r="EE53" s="1018"/>
      <c r="EF53" s="1018"/>
      <c r="EG53" s="1018"/>
      <c r="EH53" s="1018"/>
      <c r="EI53" s="1018"/>
      <c r="EJ53" s="1018"/>
      <c r="EK53" s="1018"/>
      <c r="EL53" s="1018"/>
      <c r="EM53" s="1018"/>
      <c r="EN53" s="1018"/>
      <c r="EO53" s="1018"/>
      <c r="EP53" s="1018"/>
      <c r="EQ53" s="1018"/>
      <c r="ER53" s="1018"/>
      <c r="ES53" s="1018"/>
      <c r="ET53" s="1018"/>
      <c r="EU53" s="1018"/>
      <c r="EV53" s="1018"/>
      <c r="EW53" s="1018"/>
      <c r="EX53" s="1018"/>
      <c r="EY53" s="1018"/>
      <c r="EZ53" s="1018"/>
      <c r="FA53" s="1018"/>
      <c r="FB53" s="1018"/>
      <c r="FC53" s="1018"/>
      <c r="FD53" s="1018"/>
      <c r="FE53" s="1018"/>
      <c r="FF53" s="1018"/>
      <c r="FG53" s="1018"/>
      <c r="FH53" s="1018"/>
      <c r="FI53" s="1018"/>
      <c r="FJ53" s="1018"/>
      <c r="FK53" s="1018"/>
      <c r="FL53" s="1018"/>
      <c r="FM53" s="1018"/>
      <c r="FN53" s="1018"/>
      <c r="FO53" s="1018"/>
      <c r="FP53" s="1018"/>
      <c r="FQ53" s="1018"/>
      <c r="FR53" s="1018"/>
      <c r="FS53" s="1018"/>
      <c r="FT53" s="1018"/>
      <c r="FU53" s="1018"/>
      <c r="FV53" s="1018"/>
      <c r="FW53" s="1018"/>
      <c r="FX53" s="1018"/>
      <c r="FY53" s="1018"/>
      <c r="FZ53" s="1018"/>
      <c r="GA53" s="1018"/>
      <c r="GB53" s="1018"/>
      <c r="GC53" s="1018"/>
      <c r="GD53" s="1018"/>
      <c r="GE53" s="1018"/>
      <c r="GF53" s="1018"/>
      <c r="GG53" s="1018"/>
      <c r="GH53" s="1018"/>
      <c r="GI53" s="1018"/>
      <c r="GJ53" s="1018"/>
      <c r="GK53" s="1018"/>
      <c r="GL53" s="1018"/>
      <c r="GM53" s="1018"/>
      <c r="GN53" s="1018"/>
      <c r="GO53" s="1018"/>
      <c r="GP53" s="1018"/>
      <c r="GQ53" s="1018"/>
      <c r="GR53" s="1018"/>
      <c r="GS53" s="1018"/>
      <c r="GT53" s="1018"/>
      <c r="GU53" s="1018"/>
      <c r="GV53" s="1018"/>
      <c r="GW53" s="1018"/>
      <c r="GX53" s="1018"/>
      <c r="GY53" s="1018"/>
      <c r="GZ53" s="1018"/>
      <c r="HA53" s="1018"/>
    </row>
    <row r="54" spans="1:209" s="1019" customFormat="1" ht="36.75" customHeight="1">
      <c r="A54" s="962">
        <v>5</v>
      </c>
      <c r="B54" s="976" t="s">
        <v>719</v>
      </c>
      <c r="C54" s="977" t="s">
        <v>723</v>
      </c>
      <c r="D54" s="978" t="s">
        <v>91</v>
      </c>
      <c r="E54" s="954">
        <v>1</v>
      </c>
      <c r="F54" s="958" t="s">
        <v>74</v>
      </c>
      <c r="G54" s="978">
        <v>4.9400000000000004</v>
      </c>
      <c r="H54" s="973">
        <v>17697</v>
      </c>
      <c r="I54" s="955">
        <v>2</v>
      </c>
      <c r="J54" s="973"/>
      <c r="K54" s="958">
        <f t="shared" si="63"/>
        <v>174846.36000000002</v>
      </c>
      <c r="L54" s="973"/>
      <c r="M54" s="973"/>
      <c r="N54" s="973"/>
      <c r="O54" s="973"/>
      <c r="P54" s="973"/>
      <c r="Q54" s="973"/>
      <c r="R54" s="973"/>
      <c r="S54" s="973"/>
      <c r="T54" s="973"/>
      <c r="U54" s="973"/>
      <c r="V54" s="973"/>
      <c r="W54" s="979"/>
      <c r="X54" s="979"/>
      <c r="Y54" s="958">
        <v>100</v>
      </c>
      <c r="Z54" s="959">
        <f t="shared" si="66"/>
        <v>350</v>
      </c>
      <c r="AA54" s="959">
        <f t="shared" si="67"/>
        <v>611962.26</v>
      </c>
      <c r="AB54" s="979"/>
      <c r="AC54" s="979"/>
      <c r="AD54" s="958">
        <f t="shared" si="70"/>
        <v>17484.636000000002</v>
      </c>
      <c r="AE54" s="958">
        <f t="shared" si="68"/>
        <v>804293.25600000005</v>
      </c>
      <c r="AF54" s="958">
        <f t="shared" si="64"/>
        <v>9651519.0720000006</v>
      </c>
      <c r="AG54" s="958">
        <f t="shared" si="65"/>
        <v>174846.36000000002</v>
      </c>
      <c r="AH54" s="958">
        <f t="shared" si="69"/>
        <v>9826365.432</v>
      </c>
      <c r="AI54" s="1016">
        <v>8917164.3599999994</v>
      </c>
      <c r="AJ54" s="1016">
        <f t="shared" si="71"/>
        <v>734354.71200000122</v>
      </c>
      <c r="AK54" s="1017"/>
      <c r="AL54" s="1017"/>
      <c r="AM54" s="1018"/>
      <c r="AN54" s="1018"/>
      <c r="AO54" s="1018"/>
      <c r="AP54" s="1018"/>
      <c r="AQ54" s="1018"/>
      <c r="AR54" s="1018"/>
      <c r="AS54" s="1018"/>
      <c r="AT54" s="1018"/>
      <c r="AU54" s="1018"/>
      <c r="AV54" s="1018"/>
      <c r="AW54" s="1018"/>
      <c r="AX54" s="1018"/>
      <c r="AY54" s="1018"/>
      <c r="AZ54" s="1018"/>
      <c r="BA54" s="1018"/>
      <c r="BB54" s="1018"/>
      <c r="BC54" s="1018"/>
      <c r="BD54" s="1018"/>
      <c r="BE54" s="1018"/>
      <c r="BF54" s="1018"/>
      <c r="BG54" s="1018"/>
      <c r="BH54" s="1018"/>
      <c r="BI54" s="1018"/>
      <c r="BJ54" s="1018"/>
      <c r="BK54" s="1018"/>
      <c r="BL54" s="1018"/>
      <c r="BM54" s="1018"/>
      <c r="BN54" s="1018"/>
      <c r="BO54" s="1018"/>
      <c r="BP54" s="1018"/>
      <c r="BQ54" s="1018"/>
      <c r="BR54" s="1018"/>
      <c r="BS54" s="1018"/>
      <c r="BT54" s="1018"/>
      <c r="BU54" s="1018"/>
      <c r="BV54" s="1018"/>
      <c r="BW54" s="1018"/>
      <c r="BX54" s="1018"/>
      <c r="BY54" s="1018"/>
      <c r="BZ54" s="1018"/>
      <c r="CA54" s="1018"/>
      <c r="CB54" s="1018"/>
      <c r="CC54" s="1018"/>
      <c r="CD54" s="1018"/>
      <c r="CE54" s="1018"/>
      <c r="CF54" s="1018"/>
      <c r="CG54" s="1018"/>
      <c r="CH54" s="1018"/>
      <c r="CI54" s="1018"/>
      <c r="CJ54" s="1018"/>
      <c r="CK54" s="1018"/>
      <c r="CL54" s="1018"/>
      <c r="CM54" s="1018"/>
      <c r="CN54" s="1018"/>
      <c r="CO54" s="1018"/>
      <c r="CP54" s="1018"/>
      <c r="CQ54" s="1018"/>
      <c r="CR54" s="1018"/>
      <c r="CS54" s="1018"/>
      <c r="CT54" s="1018"/>
      <c r="CU54" s="1018"/>
      <c r="CV54" s="1018"/>
      <c r="CW54" s="1018"/>
      <c r="CX54" s="1018"/>
      <c r="CY54" s="1018"/>
      <c r="CZ54" s="1018"/>
      <c r="DA54" s="1018"/>
      <c r="DB54" s="1018"/>
      <c r="DC54" s="1018"/>
      <c r="DD54" s="1018"/>
      <c r="DE54" s="1018"/>
      <c r="DF54" s="1018"/>
      <c r="DG54" s="1018"/>
      <c r="DH54" s="1018"/>
      <c r="DI54" s="1018"/>
      <c r="DJ54" s="1018"/>
      <c r="DK54" s="1018"/>
      <c r="DL54" s="1018"/>
      <c r="DM54" s="1018"/>
      <c r="DN54" s="1018"/>
      <c r="DO54" s="1018"/>
      <c r="DP54" s="1018"/>
      <c r="DQ54" s="1018"/>
      <c r="DR54" s="1018"/>
      <c r="DS54" s="1018"/>
      <c r="DT54" s="1018"/>
      <c r="DU54" s="1018"/>
      <c r="DV54" s="1018"/>
      <c r="DW54" s="1018"/>
      <c r="DX54" s="1018"/>
      <c r="DY54" s="1018"/>
      <c r="DZ54" s="1018"/>
      <c r="EA54" s="1018"/>
      <c r="EB54" s="1018"/>
      <c r="EC54" s="1018"/>
      <c r="ED54" s="1018"/>
      <c r="EE54" s="1018"/>
      <c r="EF54" s="1018"/>
      <c r="EG54" s="1018"/>
      <c r="EH54" s="1018"/>
      <c r="EI54" s="1018"/>
      <c r="EJ54" s="1018"/>
      <c r="EK54" s="1018"/>
      <c r="EL54" s="1018"/>
      <c r="EM54" s="1018"/>
      <c r="EN54" s="1018"/>
      <c r="EO54" s="1018"/>
      <c r="EP54" s="1018"/>
      <c r="EQ54" s="1018"/>
      <c r="ER54" s="1018"/>
      <c r="ES54" s="1018"/>
      <c r="ET54" s="1018"/>
      <c r="EU54" s="1018"/>
      <c r="EV54" s="1018"/>
      <c r="EW54" s="1018"/>
      <c r="EX54" s="1018"/>
      <c r="EY54" s="1018"/>
      <c r="EZ54" s="1018"/>
      <c r="FA54" s="1018"/>
      <c r="FB54" s="1018"/>
      <c r="FC54" s="1018"/>
      <c r="FD54" s="1018"/>
      <c r="FE54" s="1018"/>
      <c r="FF54" s="1018"/>
      <c r="FG54" s="1018"/>
      <c r="FH54" s="1018"/>
      <c r="FI54" s="1018"/>
      <c r="FJ54" s="1018"/>
      <c r="FK54" s="1018"/>
      <c r="FL54" s="1018"/>
      <c r="FM54" s="1018"/>
      <c r="FN54" s="1018"/>
      <c r="FO54" s="1018"/>
      <c r="FP54" s="1018"/>
      <c r="FQ54" s="1018"/>
      <c r="FR54" s="1018"/>
      <c r="FS54" s="1018"/>
      <c r="FT54" s="1018"/>
      <c r="FU54" s="1018"/>
      <c r="FV54" s="1018"/>
      <c r="FW54" s="1018"/>
      <c r="FX54" s="1018"/>
      <c r="FY54" s="1018"/>
      <c r="FZ54" s="1018"/>
      <c r="GA54" s="1018"/>
      <c r="GB54" s="1018"/>
      <c r="GC54" s="1018"/>
      <c r="GD54" s="1018"/>
      <c r="GE54" s="1018"/>
      <c r="GF54" s="1018"/>
      <c r="GG54" s="1018"/>
      <c r="GH54" s="1018"/>
      <c r="GI54" s="1018"/>
      <c r="GJ54" s="1018"/>
      <c r="GK54" s="1018"/>
      <c r="GL54" s="1018"/>
      <c r="GM54" s="1018"/>
      <c r="GN54" s="1018"/>
      <c r="GO54" s="1018"/>
      <c r="GP54" s="1018"/>
      <c r="GQ54" s="1018"/>
      <c r="GR54" s="1018"/>
      <c r="GS54" s="1018"/>
      <c r="GT54" s="1018"/>
      <c r="GU54" s="1018"/>
      <c r="GV54" s="1018"/>
      <c r="GW54" s="1018"/>
      <c r="GX54" s="1018"/>
      <c r="GY54" s="1018"/>
      <c r="GZ54" s="1018"/>
      <c r="HA54" s="1018"/>
    </row>
    <row r="55" spans="1:209" s="1019" customFormat="1" ht="43.5" customHeight="1">
      <c r="A55" s="962">
        <v>6</v>
      </c>
      <c r="B55" s="976" t="s">
        <v>719</v>
      </c>
      <c r="C55" s="982" t="s">
        <v>724</v>
      </c>
      <c r="D55" s="978" t="s">
        <v>91</v>
      </c>
      <c r="E55" s="954">
        <v>1</v>
      </c>
      <c r="F55" s="958" t="s">
        <v>722</v>
      </c>
      <c r="G55" s="978">
        <v>4.6500000000000004</v>
      </c>
      <c r="H55" s="973">
        <v>17697</v>
      </c>
      <c r="I55" s="955">
        <v>2</v>
      </c>
      <c r="J55" s="973"/>
      <c r="K55" s="958">
        <f t="shared" si="63"/>
        <v>164582.1</v>
      </c>
      <c r="L55" s="973"/>
      <c r="M55" s="973"/>
      <c r="N55" s="973"/>
      <c r="O55" s="973"/>
      <c r="P55" s="973"/>
      <c r="Q55" s="973"/>
      <c r="R55" s="973"/>
      <c r="S55" s="973"/>
      <c r="T55" s="973"/>
      <c r="U55" s="973"/>
      <c r="V55" s="973"/>
      <c r="W55" s="979"/>
      <c r="X55" s="979"/>
      <c r="Y55" s="958">
        <v>100</v>
      </c>
      <c r="Z55" s="959">
        <f t="shared" si="66"/>
        <v>350</v>
      </c>
      <c r="AA55" s="959">
        <f t="shared" si="67"/>
        <v>576037.35</v>
      </c>
      <c r="AB55" s="979"/>
      <c r="AC55" s="979"/>
      <c r="AD55" s="958">
        <f t="shared" si="70"/>
        <v>16458.210000000003</v>
      </c>
      <c r="AE55" s="958">
        <f t="shared" si="68"/>
        <v>757077.65999999992</v>
      </c>
      <c r="AF55" s="958">
        <f t="shared" si="64"/>
        <v>9084931.9199999981</v>
      </c>
      <c r="AG55" s="958">
        <f t="shared" si="65"/>
        <v>164582.1</v>
      </c>
      <c r="AH55" s="958">
        <f t="shared" si="69"/>
        <v>9249514.0199999977</v>
      </c>
      <c r="AI55" s="1016">
        <v>8393687.0999999996</v>
      </c>
      <c r="AJ55" s="1016">
        <f t="shared" si="71"/>
        <v>691244.81999999844</v>
      </c>
      <c r="AK55" s="1017"/>
      <c r="AL55" s="1017"/>
      <c r="AM55" s="1018"/>
      <c r="AN55" s="1018"/>
      <c r="AO55" s="1018"/>
      <c r="AP55" s="1018"/>
      <c r="AQ55" s="1018"/>
      <c r="AR55" s="1018"/>
      <c r="AS55" s="1018"/>
      <c r="AT55" s="1018"/>
      <c r="AU55" s="1018"/>
      <c r="AV55" s="1018"/>
      <c r="AW55" s="1018"/>
      <c r="AX55" s="1018"/>
      <c r="AY55" s="1018"/>
      <c r="AZ55" s="1018"/>
      <c r="BA55" s="1018"/>
      <c r="BB55" s="1018"/>
      <c r="BC55" s="1018"/>
      <c r="BD55" s="1018"/>
      <c r="BE55" s="1018"/>
      <c r="BF55" s="1018"/>
      <c r="BG55" s="1018"/>
      <c r="BH55" s="1018"/>
      <c r="BI55" s="1018"/>
      <c r="BJ55" s="1018"/>
      <c r="BK55" s="1018"/>
      <c r="BL55" s="1018"/>
      <c r="BM55" s="1018"/>
      <c r="BN55" s="1018"/>
      <c r="BO55" s="1018"/>
      <c r="BP55" s="1018"/>
      <c r="BQ55" s="1018"/>
      <c r="BR55" s="1018"/>
      <c r="BS55" s="1018"/>
      <c r="BT55" s="1018"/>
      <c r="BU55" s="1018"/>
      <c r="BV55" s="1018"/>
      <c r="BW55" s="1018"/>
      <c r="BX55" s="1018"/>
      <c r="BY55" s="1018"/>
      <c r="BZ55" s="1018"/>
      <c r="CA55" s="1018"/>
      <c r="CB55" s="1018"/>
      <c r="CC55" s="1018"/>
      <c r="CD55" s="1018"/>
      <c r="CE55" s="1018"/>
      <c r="CF55" s="1018"/>
      <c r="CG55" s="1018"/>
      <c r="CH55" s="1018"/>
      <c r="CI55" s="1018"/>
      <c r="CJ55" s="1018"/>
      <c r="CK55" s="1018"/>
      <c r="CL55" s="1018"/>
      <c r="CM55" s="1018"/>
      <c r="CN55" s="1018"/>
      <c r="CO55" s="1018"/>
      <c r="CP55" s="1018"/>
      <c r="CQ55" s="1018"/>
      <c r="CR55" s="1018"/>
      <c r="CS55" s="1018"/>
      <c r="CT55" s="1018"/>
      <c r="CU55" s="1018"/>
      <c r="CV55" s="1018"/>
      <c r="CW55" s="1018"/>
      <c r="CX55" s="1018"/>
      <c r="CY55" s="1018"/>
      <c r="CZ55" s="1018"/>
      <c r="DA55" s="1018"/>
      <c r="DB55" s="1018"/>
      <c r="DC55" s="1018"/>
      <c r="DD55" s="1018"/>
      <c r="DE55" s="1018"/>
      <c r="DF55" s="1018"/>
      <c r="DG55" s="1018"/>
      <c r="DH55" s="1018"/>
      <c r="DI55" s="1018"/>
      <c r="DJ55" s="1018"/>
      <c r="DK55" s="1018"/>
      <c r="DL55" s="1018"/>
      <c r="DM55" s="1018"/>
      <c r="DN55" s="1018"/>
      <c r="DO55" s="1018"/>
      <c r="DP55" s="1018"/>
      <c r="DQ55" s="1018"/>
      <c r="DR55" s="1018"/>
      <c r="DS55" s="1018"/>
      <c r="DT55" s="1018"/>
      <c r="DU55" s="1018"/>
      <c r="DV55" s="1018"/>
      <c r="DW55" s="1018"/>
      <c r="DX55" s="1018"/>
      <c r="DY55" s="1018"/>
      <c r="DZ55" s="1018"/>
      <c r="EA55" s="1018"/>
      <c r="EB55" s="1018"/>
      <c r="EC55" s="1018"/>
      <c r="ED55" s="1018"/>
      <c r="EE55" s="1018"/>
      <c r="EF55" s="1018"/>
      <c r="EG55" s="1018"/>
      <c r="EH55" s="1018"/>
      <c r="EI55" s="1018"/>
      <c r="EJ55" s="1018"/>
      <c r="EK55" s="1018"/>
      <c r="EL55" s="1018"/>
      <c r="EM55" s="1018"/>
      <c r="EN55" s="1018"/>
      <c r="EO55" s="1018"/>
      <c r="EP55" s="1018"/>
      <c r="EQ55" s="1018"/>
      <c r="ER55" s="1018"/>
      <c r="ES55" s="1018"/>
      <c r="ET55" s="1018"/>
      <c r="EU55" s="1018"/>
      <c r="EV55" s="1018"/>
      <c r="EW55" s="1018"/>
      <c r="EX55" s="1018"/>
      <c r="EY55" s="1018"/>
      <c r="EZ55" s="1018"/>
      <c r="FA55" s="1018"/>
      <c r="FB55" s="1018"/>
      <c r="FC55" s="1018"/>
      <c r="FD55" s="1018"/>
      <c r="FE55" s="1018"/>
      <c r="FF55" s="1018"/>
      <c r="FG55" s="1018"/>
      <c r="FH55" s="1018"/>
      <c r="FI55" s="1018"/>
      <c r="FJ55" s="1018"/>
      <c r="FK55" s="1018"/>
      <c r="FL55" s="1018"/>
      <c r="FM55" s="1018"/>
      <c r="FN55" s="1018"/>
      <c r="FO55" s="1018"/>
      <c r="FP55" s="1018"/>
      <c r="FQ55" s="1018"/>
      <c r="FR55" s="1018"/>
      <c r="FS55" s="1018"/>
      <c r="FT55" s="1018"/>
      <c r="FU55" s="1018"/>
      <c r="FV55" s="1018"/>
      <c r="FW55" s="1018"/>
      <c r="FX55" s="1018"/>
      <c r="FY55" s="1018"/>
      <c r="FZ55" s="1018"/>
      <c r="GA55" s="1018"/>
      <c r="GB55" s="1018"/>
      <c r="GC55" s="1018"/>
      <c r="GD55" s="1018"/>
      <c r="GE55" s="1018"/>
      <c r="GF55" s="1018"/>
      <c r="GG55" s="1018"/>
      <c r="GH55" s="1018"/>
      <c r="GI55" s="1018"/>
      <c r="GJ55" s="1018"/>
      <c r="GK55" s="1018"/>
      <c r="GL55" s="1018"/>
      <c r="GM55" s="1018"/>
      <c r="GN55" s="1018"/>
      <c r="GO55" s="1018"/>
      <c r="GP55" s="1018"/>
      <c r="GQ55" s="1018"/>
      <c r="GR55" s="1018"/>
      <c r="GS55" s="1018"/>
      <c r="GT55" s="1018"/>
      <c r="GU55" s="1018"/>
      <c r="GV55" s="1018"/>
      <c r="GW55" s="1018"/>
      <c r="GX55" s="1018"/>
      <c r="GY55" s="1018"/>
      <c r="GZ55" s="1018"/>
      <c r="HA55" s="1018"/>
    </row>
    <row r="56" spans="1:209" s="1019" customFormat="1" ht="39.75" customHeight="1">
      <c r="A56" s="962">
        <v>7</v>
      </c>
      <c r="B56" s="976" t="s">
        <v>871</v>
      </c>
      <c r="C56" s="977" t="s">
        <v>725</v>
      </c>
      <c r="D56" s="978" t="s">
        <v>99</v>
      </c>
      <c r="E56" s="954">
        <v>1</v>
      </c>
      <c r="F56" s="958" t="s">
        <v>76</v>
      </c>
      <c r="G56" s="983">
        <v>6.15</v>
      </c>
      <c r="H56" s="984">
        <v>17697</v>
      </c>
      <c r="I56" s="955">
        <v>2</v>
      </c>
      <c r="J56" s="973"/>
      <c r="K56" s="958">
        <f t="shared" si="63"/>
        <v>217673.1</v>
      </c>
      <c r="L56" s="973"/>
      <c r="M56" s="973"/>
      <c r="N56" s="973"/>
      <c r="O56" s="973"/>
      <c r="P56" s="973"/>
      <c r="Q56" s="973"/>
      <c r="R56" s="973"/>
      <c r="S56" s="973"/>
      <c r="T56" s="973"/>
      <c r="U56" s="973"/>
      <c r="V56" s="985">
        <v>30</v>
      </c>
      <c r="W56" s="979">
        <f>H56*V56%</f>
        <v>5309.0999999999995</v>
      </c>
      <c r="X56" s="979"/>
      <c r="Y56" s="958">
        <v>75</v>
      </c>
      <c r="Z56" s="959">
        <f t="shared" si="66"/>
        <v>262.5</v>
      </c>
      <c r="AA56" s="959">
        <f t="shared" si="67"/>
        <v>571391.88750000007</v>
      </c>
      <c r="AB56" s="979"/>
      <c r="AC56" s="979"/>
      <c r="AD56" s="958">
        <f t="shared" si="70"/>
        <v>21767.31</v>
      </c>
      <c r="AE56" s="958">
        <f t="shared" si="68"/>
        <v>816141.3975000002</v>
      </c>
      <c r="AF56" s="958">
        <f t="shared" si="64"/>
        <v>9793696.7700000033</v>
      </c>
      <c r="AG56" s="958">
        <f t="shared" si="65"/>
        <v>217673.1</v>
      </c>
      <c r="AH56" s="958">
        <f t="shared" si="69"/>
        <v>10011369.870000003</v>
      </c>
      <c r="AI56" s="1016"/>
      <c r="AJ56" s="1016"/>
      <c r="AK56" s="1017"/>
      <c r="AL56" s="1017"/>
      <c r="AM56" s="1018"/>
      <c r="AN56" s="1018"/>
      <c r="AO56" s="1018"/>
      <c r="AP56" s="1018"/>
      <c r="AQ56" s="1018"/>
      <c r="AR56" s="1018"/>
      <c r="AS56" s="1018"/>
      <c r="AT56" s="1018"/>
      <c r="AU56" s="1018"/>
      <c r="AV56" s="1018"/>
      <c r="AW56" s="1018"/>
      <c r="AX56" s="1018"/>
      <c r="AY56" s="1018"/>
      <c r="AZ56" s="1018"/>
      <c r="BA56" s="1018"/>
      <c r="BB56" s="1018"/>
      <c r="BC56" s="1018"/>
      <c r="BD56" s="1018"/>
      <c r="BE56" s="1018"/>
      <c r="BF56" s="1018"/>
      <c r="BG56" s="1018"/>
      <c r="BH56" s="1018"/>
      <c r="BI56" s="1018"/>
      <c r="BJ56" s="1018"/>
      <c r="BK56" s="1018"/>
      <c r="BL56" s="1018"/>
      <c r="BM56" s="1018"/>
      <c r="BN56" s="1018"/>
      <c r="BO56" s="1018"/>
      <c r="BP56" s="1018"/>
      <c r="BQ56" s="1018"/>
      <c r="BR56" s="1018"/>
      <c r="BS56" s="1018"/>
      <c r="BT56" s="1018"/>
      <c r="BU56" s="1018"/>
      <c r="BV56" s="1018"/>
      <c r="BW56" s="1018"/>
      <c r="BX56" s="1018"/>
      <c r="BY56" s="1018"/>
      <c r="BZ56" s="1018"/>
      <c r="CA56" s="1018"/>
      <c r="CB56" s="1018"/>
      <c r="CC56" s="1018"/>
      <c r="CD56" s="1018"/>
      <c r="CE56" s="1018"/>
      <c r="CF56" s="1018"/>
      <c r="CG56" s="1018"/>
      <c r="CH56" s="1018"/>
      <c r="CI56" s="1018"/>
      <c r="CJ56" s="1018"/>
      <c r="CK56" s="1018"/>
      <c r="CL56" s="1018"/>
      <c r="CM56" s="1018"/>
      <c r="CN56" s="1018"/>
      <c r="CO56" s="1018"/>
      <c r="CP56" s="1018"/>
      <c r="CQ56" s="1018"/>
      <c r="CR56" s="1018"/>
      <c r="CS56" s="1018"/>
      <c r="CT56" s="1018"/>
      <c r="CU56" s="1018"/>
      <c r="CV56" s="1018"/>
      <c r="CW56" s="1018"/>
      <c r="CX56" s="1018"/>
      <c r="CY56" s="1018"/>
      <c r="CZ56" s="1018"/>
      <c r="DA56" s="1018"/>
      <c r="DB56" s="1018"/>
      <c r="DC56" s="1018"/>
      <c r="DD56" s="1018"/>
      <c r="DE56" s="1018"/>
      <c r="DF56" s="1018"/>
      <c r="DG56" s="1018"/>
      <c r="DH56" s="1018"/>
      <c r="DI56" s="1018"/>
      <c r="DJ56" s="1018"/>
      <c r="DK56" s="1018"/>
      <c r="DL56" s="1018"/>
      <c r="DM56" s="1018"/>
      <c r="DN56" s="1018"/>
      <c r="DO56" s="1018"/>
      <c r="DP56" s="1018"/>
      <c r="DQ56" s="1018"/>
      <c r="DR56" s="1018"/>
      <c r="DS56" s="1018"/>
      <c r="DT56" s="1018"/>
      <c r="DU56" s="1018"/>
      <c r="DV56" s="1018"/>
      <c r="DW56" s="1018"/>
      <c r="DX56" s="1018"/>
      <c r="DY56" s="1018"/>
      <c r="DZ56" s="1018"/>
      <c r="EA56" s="1018"/>
      <c r="EB56" s="1018"/>
      <c r="EC56" s="1018"/>
      <c r="ED56" s="1018"/>
      <c r="EE56" s="1018"/>
      <c r="EF56" s="1018"/>
      <c r="EG56" s="1018"/>
      <c r="EH56" s="1018"/>
      <c r="EI56" s="1018"/>
      <c r="EJ56" s="1018"/>
      <c r="EK56" s="1018"/>
      <c r="EL56" s="1018"/>
      <c r="EM56" s="1018"/>
      <c r="EN56" s="1018"/>
      <c r="EO56" s="1018"/>
      <c r="EP56" s="1018"/>
      <c r="EQ56" s="1018"/>
      <c r="ER56" s="1018"/>
      <c r="ES56" s="1018"/>
      <c r="ET56" s="1018"/>
      <c r="EU56" s="1018"/>
      <c r="EV56" s="1018"/>
      <c r="EW56" s="1018"/>
      <c r="EX56" s="1018"/>
      <c r="EY56" s="1018"/>
      <c r="EZ56" s="1018"/>
      <c r="FA56" s="1018"/>
      <c r="FB56" s="1018"/>
      <c r="FC56" s="1018"/>
      <c r="FD56" s="1018"/>
      <c r="FE56" s="1018"/>
      <c r="FF56" s="1018"/>
      <c r="FG56" s="1018"/>
      <c r="FH56" s="1018"/>
      <c r="FI56" s="1018"/>
      <c r="FJ56" s="1018"/>
      <c r="FK56" s="1018"/>
      <c r="FL56" s="1018"/>
      <c r="FM56" s="1018"/>
      <c r="FN56" s="1018"/>
      <c r="FO56" s="1018"/>
      <c r="FP56" s="1018"/>
      <c r="FQ56" s="1018"/>
      <c r="FR56" s="1018"/>
      <c r="FS56" s="1018"/>
      <c r="FT56" s="1018"/>
      <c r="FU56" s="1018"/>
      <c r="FV56" s="1018"/>
      <c r="FW56" s="1018"/>
      <c r="FX56" s="1018"/>
      <c r="FY56" s="1018"/>
      <c r="FZ56" s="1018"/>
      <c r="GA56" s="1018"/>
      <c r="GB56" s="1018"/>
      <c r="GC56" s="1018"/>
      <c r="GD56" s="1018"/>
      <c r="GE56" s="1018"/>
      <c r="GF56" s="1018"/>
      <c r="GG56" s="1018"/>
      <c r="GH56" s="1018"/>
      <c r="GI56" s="1018"/>
      <c r="GJ56" s="1018"/>
      <c r="GK56" s="1018"/>
      <c r="GL56" s="1018"/>
      <c r="GM56" s="1018"/>
      <c r="GN56" s="1018"/>
      <c r="GO56" s="1018"/>
      <c r="GP56" s="1018"/>
      <c r="GQ56" s="1018"/>
      <c r="GR56" s="1018"/>
      <c r="GS56" s="1018"/>
      <c r="GT56" s="1018"/>
      <c r="GU56" s="1018"/>
      <c r="GV56" s="1018"/>
      <c r="GW56" s="1018"/>
      <c r="GX56" s="1018"/>
      <c r="GY56" s="1018"/>
      <c r="GZ56" s="1018"/>
      <c r="HA56" s="1018"/>
    </row>
    <row r="57" spans="1:209" s="1019" customFormat="1" ht="59.25" customHeight="1">
      <c r="A57" s="962">
        <v>8</v>
      </c>
      <c r="B57" s="976" t="s">
        <v>1183</v>
      </c>
      <c r="C57" s="977" t="s">
        <v>726</v>
      </c>
      <c r="D57" s="978" t="s">
        <v>99</v>
      </c>
      <c r="E57" s="954">
        <v>1</v>
      </c>
      <c r="F57" s="958" t="s">
        <v>733</v>
      </c>
      <c r="G57" s="978">
        <v>5.82</v>
      </c>
      <c r="H57" s="984">
        <v>17697</v>
      </c>
      <c r="I57" s="955">
        <v>2</v>
      </c>
      <c r="J57" s="973"/>
      <c r="K57" s="958">
        <f t="shared" si="63"/>
        <v>205993.08000000002</v>
      </c>
      <c r="L57" s="973"/>
      <c r="M57" s="973"/>
      <c r="N57" s="973"/>
      <c r="O57" s="973"/>
      <c r="P57" s="973"/>
      <c r="Q57" s="973"/>
      <c r="R57" s="973"/>
      <c r="S57" s="973"/>
      <c r="T57" s="973"/>
      <c r="U57" s="973"/>
      <c r="V57" s="985">
        <v>30</v>
      </c>
      <c r="W57" s="979">
        <f>H57*V57%</f>
        <v>5309.0999999999995</v>
      </c>
      <c r="X57" s="979"/>
      <c r="Y57" s="958">
        <v>75</v>
      </c>
      <c r="Z57" s="959">
        <f t="shared" si="66"/>
        <v>262.5</v>
      </c>
      <c r="AA57" s="959">
        <f t="shared" si="67"/>
        <v>540731.83500000008</v>
      </c>
      <c r="AB57" s="979"/>
      <c r="AC57" s="979"/>
      <c r="AD57" s="958">
        <f t="shared" si="70"/>
        <v>20599.308000000005</v>
      </c>
      <c r="AE57" s="958">
        <f t="shared" si="68"/>
        <v>772633.32300000009</v>
      </c>
      <c r="AF57" s="958">
        <f t="shared" si="64"/>
        <v>9271599.876000002</v>
      </c>
      <c r="AG57" s="958">
        <f t="shared" si="65"/>
        <v>205993.08000000002</v>
      </c>
      <c r="AH57" s="958">
        <f t="shared" si="69"/>
        <v>9477592.9560000021</v>
      </c>
      <c r="AI57" s="1016"/>
      <c r="AJ57" s="1016"/>
      <c r="AK57" s="1017"/>
      <c r="AL57" s="1017"/>
      <c r="AM57" s="1018"/>
      <c r="AN57" s="1018"/>
      <c r="AO57" s="1018"/>
      <c r="AP57" s="1018"/>
      <c r="AQ57" s="1018"/>
      <c r="AR57" s="1018"/>
      <c r="AS57" s="1018"/>
      <c r="AT57" s="1018"/>
      <c r="AU57" s="1018"/>
      <c r="AV57" s="1018"/>
      <c r="AW57" s="1018"/>
      <c r="AX57" s="1018"/>
      <c r="AY57" s="1018"/>
      <c r="AZ57" s="1018"/>
      <c r="BA57" s="1018"/>
      <c r="BB57" s="1018"/>
      <c r="BC57" s="1018"/>
      <c r="BD57" s="1018"/>
      <c r="BE57" s="1018"/>
      <c r="BF57" s="1018"/>
      <c r="BG57" s="1018"/>
      <c r="BH57" s="1018"/>
      <c r="BI57" s="1018"/>
      <c r="BJ57" s="1018"/>
      <c r="BK57" s="1018"/>
      <c r="BL57" s="1018"/>
      <c r="BM57" s="1018"/>
      <c r="BN57" s="1018"/>
      <c r="BO57" s="1018"/>
      <c r="BP57" s="1018"/>
      <c r="BQ57" s="1018"/>
      <c r="BR57" s="1018"/>
      <c r="BS57" s="1018"/>
      <c r="BT57" s="1018"/>
      <c r="BU57" s="1018"/>
      <c r="BV57" s="1018"/>
      <c r="BW57" s="1018"/>
      <c r="BX57" s="1018"/>
      <c r="BY57" s="1018"/>
      <c r="BZ57" s="1018"/>
      <c r="CA57" s="1018"/>
      <c r="CB57" s="1018"/>
      <c r="CC57" s="1018"/>
      <c r="CD57" s="1018"/>
      <c r="CE57" s="1018"/>
      <c r="CF57" s="1018"/>
      <c r="CG57" s="1018"/>
      <c r="CH57" s="1018"/>
      <c r="CI57" s="1018"/>
      <c r="CJ57" s="1018"/>
      <c r="CK57" s="1018"/>
      <c r="CL57" s="1018"/>
      <c r="CM57" s="1018"/>
      <c r="CN57" s="1018"/>
      <c r="CO57" s="1018"/>
      <c r="CP57" s="1018"/>
      <c r="CQ57" s="1018"/>
      <c r="CR57" s="1018"/>
      <c r="CS57" s="1018"/>
      <c r="CT57" s="1018"/>
      <c r="CU57" s="1018"/>
      <c r="CV57" s="1018"/>
      <c r="CW57" s="1018"/>
      <c r="CX57" s="1018"/>
      <c r="CY57" s="1018"/>
      <c r="CZ57" s="1018"/>
      <c r="DA57" s="1018"/>
      <c r="DB57" s="1018"/>
      <c r="DC57" s="1018"/>
      <c r="DD57" s="1018"/>
      <c r="DE57" s="1018"/>
      <c r="DF57" s="1018"/>
      <c r="DG57" s="1018"/>
      <c r="DH57" s="1018"/>
      <c r="DI57" s="1018"/>
      <c r="DJ57" s="1018"/>
      <c r="DK57" s="1018"/>
      <c r="DL57" s="1018"/>
      <c r="DM57" s="1018"/>
      <c r="DN57" s="1018"/>
      <c r="DO57" s="1018"/>
      <c r="DP57" s="1018"/>
      <c r="DQ57" s="1018"/>
      <c r="DR57" s="1018"/>
      <c r="DS57" s="1018"/>
      <c r="DT57" s="1018"/>
      <c r="DU57" s="1018"/>
      <c r="DV57" s="1018"/>
      <c r="DW57" s="1018"/>
      <c r="DX57" s="1018"/>
      <c r="DY57" s="1018"/>
      <c r="DZ57" s="1018"/>
      <c r="EA57" s="1018"/>
      <c r="EB57" s="1018"/>
      <c r="EC57" s="1018"/>
      <c r="ED57" s="1018"/>
      <c r="EE57" s="1018"/>
      <c r="EF57" s="1018"/>
      <c r="EG57" s="1018"/>
      <c r="EH57" s="1018"/>
      <c r="EI57" s="1018"/>
      <c r="EJ57" s="1018"/>
      <c r="EK57" s="1018"/>
      <c r="EL57" s="1018"/>
      <c r="EM57" s="1018"/>
      <c r="EN57" s="1018"/>
      <c r="EO57" s="1018"/>
      <c r="EP57" s="1018"/>
      <c r="EQ57" s="1018"/>
      <c r="ER57" s="1018"/>
      <c r="ES57" s="1018"/>
      <c r="ET57" s="1018"/>
      <c r="EU57" s="1018"/>
      <c r="EV57" s="1018"/>
      <c r="EW57" s="1018"/>
      <c r="EX57" s="1018"/>
      <c r="EY57" s="1018"/>
      <c r="EZ57" s="1018"/>
      <c r="FA57" s="1018"/>
      <c r="FB57" s="1018"/>
      <c r="FC57" s="1018"/>
      <c r="FD57" s="1018"/>
      <c r="FE57" s="1018"/>
      <c r="FF57" s="1018"/>
      <c r="FG57" s="1018"/>
      <c r="FH57" s="1018"/>
      <c r="FI57" s="1018"/>
      <c r="FJ57" s="1018"/>
      <c r="FK57" s="1018"/>
      <c r="FL57" s="1018"/>
      <c r="FM57" s="1018"/>
      <c r="FN57" s="1018"/>
      <c r="FO57" s="1018"/>
      <c r="FP57" s="1018"/>
      <c r="FQ57" s="1018"/>
      <c r="FR57" s="1018"/>
      <c r="FS57" s="1018"/>
      <c r="FT57" s="1018"/>
      <c r="FU57" s="1018"/>
      <c r="FV57" s="1018"/>
      <c r="FW57" s="1018"/>
      <c r="FX57" s="1018"/>
      <c r="FY57" s="1018"/>
      <c r="FZ57" s="1018"/>
      <c r="GA57" s="1018"/>
      <c r="GB57" s="1018"/>
      <c r="GC57" s="1018"/>
      <c r="GD57" s="1018"/>
      <c r="GE57" s="1018"/>
      <c r="GF57" s="1018"/>
      <c r="GG57" s="1018"/>
      <c r="GH57" s="1018"/>
      <c r="GI57" s="1018"/>
      <c r="GJ57" s="1018"/>
      <c r="GK57" s="1018"/>
      <c r="GL57" s="1018"/>
      <c r="GM57" s="1018"/>
      <c r="GN57" s="1018"/>
      <c r="GO57" s="1018"/>
      <c r="GP57" s="1018"/>
      <c r="GQ57" s="1018"/>
      <c r="GR57" s="1018"/>
      <c r="GS57" s="1018"/>
      <c r="GT57" s="1018"/>
      <c r="GU57" s="1018"/>
      <c r="GV57" s="1018"/>
      <c r="GW57" s="1018"/>
      <c r="GX57" s="1018"/>
      <c r="GY57" s="1018"/>
      <c r="GZ57" s="1018"/>
      <c r="HA57" s="1018"/>
    </row>
    <row r="58" spans="1:209" s="1019" customFormat="1" ht="36" customHeight="1">
      <c r="A58" s="962">
        <v>9</v>
      </c>
      <c r="B58" s="976" t="s">
        <v>1184</v>
      </c>
      <c r="C58" s="977" t="s">
        <v>727</v>
      </c>
      <c r="D58" s="986" t="s">
        <v>91</v>
      </c>
      <c r="E58" s="950">
        <v>0.5</v>
      </c>
      <c r="F58" s="958" t="s">
        <v>78</v>
      </c>
      <c r="G58" s="978">
        <v>5.0999999999999996</v>
      </c>
      <c r="H58" s="984">
        <v>17697</v>
      </c>
      <c r="I58" s="955">
        <v>2</v>
      </c>
      <c r="J58" s="973"/>
      <c r="K58" s="958">
        <f t="shared" si="63"/>
        <v>90254.7</v>
      </c>
      <c r="L58" s="973"/>
      <c r="M58" s="973"/>
      <c r="N58" s="973"/>
      <c r="O58" s="973"/>
      <c r="P58" s="973"/>
      <c r="Q58" s="973"/>
      <c r="R58" s="973"/>
      <c r="S58" s="973"/>
      <c r="T58" s="973"/>
      <c r="U58" s="973"/>
      <c r="V58" s="985">
        <v>30</v>
      </c>
      <c r="W58" s="979">
        <f>H58*V58%</f>
        <v>5309.0999999999995</v>
      </c>
      <c r="X58" s="979"/>
      <c r="Y58" s="979"/>
      <c r="Z58" s="979"/>
      <c r="AA58" s="979"/>
      <c r="AB58" s="979">
        <v>165</v>
      </c>
      <c r="AC58" s="979">
        <f>K58*AB58%</f>
        <v>148920.25499999998</v>
      </c>
      <c r="AD58" s="958">
        <f t="shared" si="70"/>
        <v>9025.4699999999993</v>
      </c>
      <c r="AE58" s="958">
        <f t="shared" si="68"/>
        <v>253509.52499999997</v>
      </c>
      <c r="AF58" s="958">
        <f t="shared" si="64"/>
        <v>3042114.3</v>
      </c>
      <c r="AG58" s="958">
        <f t="shared" si="65"/>
        <v>90254.7</v>
      </c>
      <c r="AH58" s="958">
        <f t="shared" si="69"/>
        <v>3132369</v>
      </c>
      <c r="AI58" s="1016"/>
      <c r="AJ58" s="1016"/>
      <c r="AK58" s="1017"/>
      <c r="AL58" s="1017"/>
      <c r="AM58" s="1018"/>
      <c r="AN58" s="1018"/>
      <c r="AO58" s="1018"/>
      <c r="AP58" s="1018"/>
      <c r="AQ58" s="1018"/>
      <c r="AR58" s="1018"/>
      <c r="AS58" s="1018"/>
      <c r="AT58" s="1018"/>
      <c r="AU58" s="1018"/>
      <c r="AV58" s="1018"/>
      <c r="AW58" s="1018"/>
      <c r="AX58" s="1018"/>
      <c r="AY58" s="1018"/>
      <c r="AZ58" s="1018"/>
      <c r="BA58" s="1018"/>
      <c r="BB58" s="1018"/>
      <c r="BC58" s="1018"/>
      <c r="BD58" s="1018"/>
      <c r="BE58" s="1018"/>
      <c r="BF58" s="1018"/>
      <c r="BG58" s="1018"/>
      <c r="BH58" s="1018"/>
      <c r="BI58" s="1018"/>
      <c r="BJ58" s="1018"/>
      <c r="BK58" s="1018"/>
      <c r="BL58" s="1018"/>
      <c r="BM58" s="1018"/>
      <c r="BN58" s="1018"/>
      <c r="BO58" s="1018"/>
      <c r="BP58" s="1018"/>
      <c r="BQ58" s="1018"/>
      <c r="BR58" s="1018"/>
      <c r="BS58" s="1018"/>
      <c r="BT58" s="1018"/>
      <c r="BU58" s="1018"/>
      <c r="BV58" s="1018"/>
      <c r="BW58" s="1018"/>
      <c r="BX58" s="1018"/>
      <c r="BY58" s="1018"/>
      <c r="BZ58" s="1018"/>
      <c r="CA58" s="1018"/>
      <c r="CB58" s="1018"/>
      <c r="CC58" s="1018"/>
      <c r="CD58" s="1018"/>
      <c r="CE58" s="1018"/>
      <c r="CF58" s="1018"/>
      <c r="CG58" s="1018"/>
      <c r="CH58" s="1018"/>
      <c r="CI58" s="1018"/>
      <c r="CJ58" s="1018"/>
      <c r="CK58" s="1018"/>
      <c r="CL58" s="1018"/>
      <c r="CM58" s="1018"/>
      <c r="CN58" s="1018"/>
      <c r="CO58" s="1018"/>
      <c r="CP58" s="1018"/>
      <c r="CQ58" s="1018"/>
      <c r="CR58" s="1018"/>
      <c r="CS58" s="1018"/>
      <c r="CT58" s="1018"/>
      <c r="CU58" s="1018"/>
      <c r="CV58" s="1018"/>
      <c r="CW58" s="1018"/>
      <c r="CX58" s="1018"/>
      <c r="CY58" s="1018"/>
      <c r="CZ58" s="1018"/>
      <c r="DA58" s="1018"/>
      <c r="DB58" s="1018"/>
      <c r="DC58" s="1018"/>
      <c r="DD58" s="1018"/>
      <c r="DE58" s="1018"/>
      <c r="DF58" s="1018"/>
      <c r="DG58" s="1018"/>
      <c r="DH58" s="1018"/>
      <c r="DI58" s="1018"/>
      <c r="DJ58" s="1018"/>
      <c r="DK58" s="1018"/>
      <c r="DL58" s="1018"/>
      <c r="DM58" s="1018"/>
      <c r="DN58" s="1018"/>
      <c r="DO58" s="1018"/>
      <c r="DP58" s="1018"/>
      <c r="DQ58" s="1018"/>
      <c r="DR58" s="1018"/>
      <c r="DS58" s="1018"/>
      <c r="DT58" s="1018"/>
      <c r="DU58" s="1018"/>
      <c r="DV58" s="1018"/>
      <c r="DW58" s="1018"/>
      <c r="DX58" s="1018"/>
      <c r="DY58" s="1018"/>
      <c r="DZ58" s="1018"/>
      <c r="EA58" s="1018"/>
      <c r="EB58" s="1018"/>
      <c r="EC58" s="1018"/>
      <c r="ED58" s="1018"/>
      <c r="EE58" s="1018"/>
      <c r="EF58" s="1018"/>
      <c r="EG58" s="1018"/>
      <c r="EH58" s="1018"/>
      <c r="EI58" s="1018"/>
      <c r="EJ58" s="1018"/>
      <c r="EK58" s="1018"/>
      <c r="EL58" s="1018"/>
      <c r="EM58" s="1018"/>
      <c r="EN58" s="1018"/>
      <c r="EO58" s="1018"/>
      <c r="EP58" s="1018"/>
      <c r="EQ58" s="1018"/>
      <c r="ER58" s="1018"/>
      <c r="ES58" s="1018"/>
      <c r="ET58" s="1018"/>
      <c r="EU58" s="1018"/>
      <c r="EV58" s="1018"/>
      <c r="EW58" s="1018"/>
      <c r="EX58" s="1018"/>
      <c r="EY58" s="1018"/>
      <c r="EZ58" s="1018"/>
      <c r="FA58" s="1018"/>
      <c r="FB58" s="1018"/>
      <c r="FC58" s="1018"/>
      <c r="FD58" s="1018"/>
      <c r="FE58" s="1018"/>
      <c r="FF58" s="1018"/>
      <c r="FG58" s="1018"/>
      <c r="FH58" s="1018"/>
      <c r="FI58" s="1018"/>
      <c r="FJ58" s="1018"/>
      <c r="FK58" s="1018"/>
      <c r="FL58" s="1018"/>
      <c r="FM58" s="1018"/>
      <c r="FN58" s="1018"/>
      <c r="FO58" s="1018"/>
      <c r="FP58" s="1018"/>
      <c r="FQ58" s="1018"/>
      <c r="FR58" s="1018"/>
      <c r="FS58" s="1018"/>
      <c r="FT58" s="1018"/>
      <c r="FU58" s="1018"/>
      <c r="FV58" s="1018"/>
      <c r="FW58" s="1018"/>
      <c r="FX58" s="1018"/>
      <c r="FY58" s="1018"/>
      <c r="FZ58" s="1018"/>
      <c r="GA58" s="1018"/>
      <c r="GB58" s="1018"/>
      <c r="GC58" s="1018"/>
      <c r="GD58" s="1018"/>
      <c r="GE58" s="1018"/>
      <c r="GF58" s="1018"/>
      <c r="GG58" s="1018"/>
      <c r="GH58" s="1018"/>
      <c r="GI58" s="1018"/>
      <c r="GJ58" s="1018"/>
      <c r="GK58" s="1018"/>
      <c r="GL58" s="1018"/>
      <c r="GM58" s="1018"/>
      <c r="GN58" s="1018"/>
      <c r="GO58" s="1018"/>
      <c r="GP58" s="1018"/>
      <c r="GQ58" s="1018"/>
      <c r="GR58" s="1018"/>
      <c r="GS58" s="1018"/>
      <c r="GT58" s="1018"/>
      <c r="GU58" s="1018"/>
      <c r="GV58" s="1018"/>
      <c r="GW58" s="1018"/>
      <c r="GX58" s="1018"/>
      <c r="GY58" s="1018"/>
      <c r="GZ58" s="1018"/>
      <c r="HA58" s="1018"/>
    </row>
    <row r="59" spans="1:209" s="1019" customFormat="1" ht="42" customHeight="1">
      <c r="A59" s="962">
        <v>10</v>
      </c>
      <c r="B59" s="976" t="s">
        <v>1184</v>
      </c>
      <c r="C59" s="981" t="s">
        <v>728</v>
      </c>
      <c r="D59" s="986" t="s">
        <v>91</v>
      </c>
      <c r="E59" s="950">
        <v>0.5</v>
      </c>
      <c r="F59" s="958" t="s">
        <v>74</v>
      </c>
      <c r="G59" s="978">
        <v>4.9400000000000004</v>
      </c>
      <c r="H59" s="984">
        <v>17697</v>
      </c>
      <c r="I59" s="955">
        <v>2</v>
      </c>
      <c r="J59" s="973"/>
      <c r="K59" s="958">
        <f t="shared" si="63"/>
        <v>87423.180000000008</v>
      </c>
      <c r="L59" s="973"/>
      <c r="M59" s="973"/>
      <c r="N59" s="973"/>
      <c r="O59" s="973"/>
      <c r="P59" s="973"/>
      <c r="Q59" s="973"/>
      <c r="R59" s="973"/>
      <c r="S59" s="973"/>
      <c r="T59" s="973"/>
      <c r="U59" s="973"/>
      <c r="V59" s="985">
        <v>30</v>
      </c>
      <c r="W59" s="979">
        <f>H59*V59%</f>
        <v>5309.0999999999995</v>
      </c>
      <c r="X59" s="979"/>
      <c r="Y59" s="979"/>
      <c r="Z59" s="979"/>
      <c r="AA59" s="979"/>
      <c r="AB59" s="979">
        <v>165</v>
      </c>
      <c r="AC59" s="979">
        <f>K59*AB59%</f>
        <v>144248.247</v>
      </c>
      <c r="AD59" s="958">
        <f t="shared" si="70"/>
        <v>8742.3180000000011</v>
      </c>
      <c r="AE59" s="958">
        <f t="shared" si="68"/>
        <v>245722.84500000003</v>
      </c>
      <c r="AF59" s="958">
        <f t="shared" si="64"/>
        <v>2948674.1400000006</v>
      </c>
      <c r="AG59" s="958">
        <f t="shared" si="65"/>
        <v>87423.180000000008</v>
      </c>
      <c r="AH59" s="958">
        <f t="shared" si="69"/>
        <v>3036097.3200000008</v>
      </c>
      <c r="AI59" s="1016"/>
      <c r="AJ59" s="1016"/>
      <c r="AK59" s="1017"/>
      <c r="AL59" s="1017"/>
      <c r="AM59" s="1018"/>
      <c r="AN59" s="1018"/>
      <c r="AO59" s="1018"/>
      <c r="AP59" s="1018"/>
      <c r="AQ59" s="1018"/>
      <c r="AR59" s="1018"/>
      <c r="AS59" s="1018"/>
      <c r="AT59" s="1018"/>
      <c r="AU59" s="1018"/>
      <c r="AV59" s="1018"/>
      <c r="AW59" s="1018"/>
      <c r="AX59" s="1018"/>
      <c r="AY59" s="1018"/>
      <c r="AZ59" s="1018"/>
      <c r="BA59" s="1018"/>
      <c r="BB59" s="1018"/>
      <c r="BC59" s="1018"/>
      <c r="BD59" s="1018"/>
      <c r="BE59" s="1018"/>
      <c r="BF59" s="1018"/>
      <c r="BG59" s="1018"/>
      <c r="BH59" s="1018"/>
      <c r="BI59" s="1018"/>
      <c r="BJ59" s="1018"/>
      <c r="BK59" s="1018"/>
      <c r="BL59" s="1018"/>
      <c r="BM59" s="1018"/>
      <c r="BN59" s="1018"/>
      <c r="BO59" s="1018"/>
      <c r="BP59" s="1018"/>
      <c r="BQ59" s="1018"/>
      <c r="BR59" s="1018"/>
      <c r="BS59" s="1018"/>
      <c r="BT59" s="1018"/>
      <c r="BU59" s="1018"/>
      <c r="BV59" s="1018"/>
      <c r="BW59" s="1018"/>
      <c r="BX59" s="1018"/>
      <c r="BY59" s="1018"/>
      <c r="BZ59" s="1018"/>
      <c r="CA59" s="1018"/>
      <c r="CB59" s="1018"/>
      <c r="CC59" s="1018"/>
      <c r="CD59" s="1018"/>
      <c r="CE59" s="1018"/>
      <c r="CF59" s="1018"/>
      <c r="CG59" s="1018"/>
      <c r="CH59" s="1018"/>
      <c r="CI59" s="1018"/>
      <c r="CJ59" s="1018"/>
      <c r="CK59" s="1018"/>
      <c r="CL59" s="1018"/>
      <c r="CM59" s="1018"/>
      <c r="CN59" s="1018"/>
      <c r="CO59" s="1018"/>
      <c r="CP59" s="1018"/>
      <c r="CQ59" s="1018"/>
      <c r="CR59" s="1018"/>
      <c r="CS59" s="1018"/>
      <c r="CT59" s="1018"/>
      <c r="CU59" s="1018"/>
      <c r="CV59" s="1018"/>
      <c r="CW59" s="1018"/>
      <c r="CX59" s="1018"/>
      <c r="CY59" s="1018"/>
      <c r="CZ59" s="1018"/>
      <c r="DA59" s="1018"/>
      <c r="DB59" s="1018"/>
      <c r="DC59" s="1018"/>
      <c r="DD59" s="1018"/>
      <c r="DE59" s="1018"/>
      <c r="DF59" s="1018"/>
      <c r="DG59" s="1018"/>
      <c r="DH59" s="1018"/>
      <c r="DI59" s="1018"/>
      <c r="DJ59" s="1018"/>
      <c r="DK59" s="1018"/>
      <c r="DL59" s="1018"/>
      <c r="DM59" s="1018"/>
      <c r="DN59" s="1018"/>
      <c r="DO59" s="1018"/>
      <c r="DP59" s="1018"/>
      <c r="DQ59" s="1018"/>
      <c r="DR59" s="1018"/>
      <c r="DS59" s="1018"/>
      <c r="DT59" s="1018"/>
      <c r="DU59" s="1018"/>
      <c r="DV59" s="1018"/>
      <c r="DW59" s="1018"/>
      <c r="DX59" s="1018"/>
      <c r="DY59" s="1018"/>
      <c r="DZ59" s="1018"/>
      <c r="EA59" s="1018"/>
      <c r="EB59" s="1018"/>
      <c r="EC59" s="1018"/>
      <c r="ED59" s="1018"/>
      <c r="EE59" s="1018"/>
      <c r="EF59" s="1018"/>
      <c r="EG59" s="1018"/>
      <c r="EH59" s="1018"/>
      <c r="EI59" s="1018"/>
      <c r="EJ59" s="1018"/>
      <c r="EK59" s="1018"/>
      <c r="EL59" s="1018"/>
      <c r="EM59" s="1018"/>
      <c r="EN59" s="1018"/>
      <c r="EO59" s="1018"/>
      <c r="EP59" s="1018"/>
      <c r="EQ59" s="1018"/>
      <c r="ER59" s="1018"/>
      <c r="ES59" s="1018"/>
      <c r="ET59" s="1018"/>
      <c r="EU59" s="1018"/>
      <c r="EV59" s="1018"/>
      <c r="EW59" s="1018"/>
      <c r="EX59" s="1018"/>
      <c r="EY59" s="1018"/>
      <c r="EZ59" s="1018"/>
      <c r="FA59" s="1018"/>
      <c r="FB59" s="1018"/>
      <c r="FC59" s="1018"/>
      <c r="FD59" s="1018"/>
      <c r="FE59" s="1018"/>
      <c r="FF59" s="1018"/>
      <c r="FG59" s="1018"/>
      <c r="FH59" s="1018"/>
      <c r="FI59" s="1018"/>
      <c r="FJ59" s="1018"/>
      <c r="FK59" s="1018"/>
      <c r="FL59" s="1018"/>
      <c r="FM59" s="1018"/>
      <c r="FN59" s="1018"/>
      <c r="FO59" s="1018"/>
      <c r="FP59" s="1018"/>
      <c r="FQ59" s="1018"/>
      <c r="FR59" s="1018"/>
      <c r="FS59" s="1018"/>
      <c r="FT59" s="1018"/>
      <c r="FU59" s="1018"/>
      <c r="FV59" s="1018"/>
      <c r="FW59" s="1018"/>
      <c r="FX59" s="1018"/>
      <c r="FY59" s="1018"/>
      <c r="FZ59" s="1018"/>
      <c r="GA59" s="1018"/>
      <c r="GB59" s="1018"/>
      <c r="GC59" s="1018"/>
      <c r="GD59" s="1018"/>
      <c r="GE59" s="1018"/>
      <c r="GF59" s="1018"/>
      <c r="GG59" s="1018"/>
      <c r="GH59" s="1018"/>
      <c r="GI59" s="1018"/>
      <c r="GJ59" s="1018"/>
      <c r="GK59" s="1018"/>
      <c r="GL59" s="1018"/>
      <c r="GM59" s="1018"/>
      <c r="GN59" s="1018"/>
      <c r="GO59" s="1018"/>
      <c r="GP59" s="1018"/>
      <c r="GQ59" s="1018"/>
      <c r="GR59" s="1018"/>
      <c r="GS59" s="1018"/>
      <c r="GT59" s="1018"/>
      <c r="GU59" s="1018"/>
      <c r="GV59" s="1018"/>
      <c r="GW59" s="1018"/>
      <c r="GX59" s="1018"/>
      <c r="GY59" s="1018"/>
      <c r="GZ59" s="1018"/>
      <c r="HA59" s="1018"/>
    </row>
    <row r="60" spans="1:209" s="1019" customFormat="1" ht="36.75" customHeight="1">
      <c r="A60" s="962">
        <v>11</v>
      </c>
      <c r="B60" s="976" t="s">
        <v>1185</v>
      </c>
      <c r="C60" s="977" t="s">
        <v>729</v>
      </c>
      <c r="D60" s="986" t="s">
        <v>91</v>
      </c>
      <c r="E60" s="950">
        <v>0.5</v>
      </c>
      <c r="F60" s="958" t="s">
        <v>76</v>
      </c>
      <c r="G60" s="978">
        <v>5.28</v>
      </c>
      <c r="H60" s="984">
        <v>17697</v>
      </c>
      <c r="I60" s="955">
        <v>2</v>
      </c>
      <c r="J60" s="973"/>
      <c r="K60" s="958">
        <f t="shared" si="63"/>
        <v>93440.16</v>
      </c>
      <c r="L60" s="973"/>
      <c r="M60" s="973"/>
      <c r="N60" s="973"/>
      <c r="O60" s="973"/>
      <c r="P60" s="973"/>
      <c r="Q60" s="973"/>
      <c r="R60" s="973"/>
      <c r="S60" s="973"/>
      <c r="T60" s="973"/>
      <c r="U60" s="973"/>
      <c r="V60" s="985">
        <v>30</v>
      </c>
      <c r="W60" s="979">
        <f>H60*V60%</f>
        <v>5309.0999999999995</v>
      </c>
      <c r="X60" s="979"/>
      <c r="Y60" s="979"/>
      <c r="Z60" s="979"/>
      <c r="AA60" s="979"/>
      <c r="AB60" s="979">
        <v>165</v>
      </c>
      <c r="AC60" s="979">
        <f>K60*AB60%</f>
        <v>154176.264</v>
      </c>
      <c r="AD60" s="958">
        <f t="shared" si="70"/>
        <v>9344.0160000000014</v>
      </c>
      <c r="AE60" s="958">
        <f t="shared" si="68"/>
        <v>262269.54000000004</v>
      </c>
      <c r="AF60" s="958">
        <f t="shared" si="64"/>
        <v>3147234.4800000004</v>
      </c>
      <c r="AG60" s="958">
        <f t="shared" si="65"/>
        <v>93440.16</v>
      </c>
      <c r="AH60" s="958">
        <f t="shared" si="69"/>
        <v>3240674.6400000006</v>
      </c>
      <c r="AI60" s="1016"/>
      <c r="AJ60" s="1016"/>
      <c r="AK60" s="1017"/>
      <c r="AL60" s="1017"/>
      <c r="AM60" s="1018"/>
      <c r="AN60" s="1018"/>
      <c r="AO60" s="1018"/>
      <c r="AP60" s="1018"/>
      <c r="AQ60" s="1018"/>
      <c r="AR60" s="1018"/>
      <c r="AS60" s="1018"/>
      <c r="AT60" s="1018"/>
      <c r="AU60" s="1018"/>
      <c r="AV60" s="1018"/>
      <c r="AW60" s="1018"/>
      <c r="AX60" s="1018"/>
      <c r="AY60" s="1018"/>
      <c r="AZ60" s="1018"/>
      <c r="BA60" s="1018"/>
      <c r="BB60" s="1018"/>
      <c r="BC60" s="1018"/>
      <c r="BD60" s="1018"/>
      <c r="BE60" s="1018"/>
      <c r="BF60" s="1018"/>
      <c r="BG60" s="1018"/>
      <c r="BH60" s="1018"/>
      <c r="BI60" s="1018"/>
      <c r="BJ60" s="1018"/>
      <c r="BK60" s="1018"/>
      <c r="BL60" s="1018"/>
      <c r="BM60" s="1018"/>
      <c r="BN60" s="1018"/>
      <c r="BO60" s="1018"/>
      <c r="BP60" s="1018"/>
      <c r="BQ60" s="1018"/>
      <c r="BR60" s="1018"/>
      <c r="BS60" s="1018"/>
      <c r="BT60" s="1018"/>
      <c r="BU60" s="1018"/>
      <c r="BV60" s="1018"/>
      <c r="BW60" s="1018"/>
      <c r="BX60" s="1018"/>
      <c r="BY60" s="1018"/>
      <c r="BZ60" s="1018"/>
      <c r="CA60" s="1018"/>
      <c r="CB60" s="1018"/>
      <c r="CC60" s="1018"/>
      <c r="CD60" s="1018"/>
      <c r="CE60" s="1018"/>
      <c r="CF60" s="1018"/>
      <c r="CG60" s="1018"/>
      <c r="CH60" s="1018"/>
      <c r="CI60" s="1018"/>
      <c r="CJ60" s="1018"/>
      <c r="CK60" s="1018"/>
      <c r="CL60" s="1018"/>
      <c r="CM60" s="1018"/>
      <c r="CN60" s="1018"/>
      <c r="CO60" s="1018"/>
      <c r="CP60" s="1018"/>
      <c r="CQ60" s="1018"/>
      <c r="CR60" s="1018"/>
      <c r="CS60" s="1018"/>
      <c r="CT60" s="1018"/>
      <c r="CU60" s="1018"/>
      <c r="CV60" s="1018"/>
      <c r="CW60" s="1018"/>
      <c r="CX60" s="1018"/>
      <c r="CY60" s="1018"/>
      <c r="CZ60" s="1018"/>
      <c r="DA60" s="1018"/>
      <c r="DB60" s="1018"/>
      <c r="DC60" s="1018"/>
      <c r="DD60" s="1018"/>
      <c r="DE60" s="1018"/>
      <c r="DF60" s="1018"/>
      <c r="DG60" s="1018"/>
      <c r="DH60" s="1018"/>
      <c r="DI60" s="1018"/>
      <c r="DJ60" s="1018"/>
      <c r="DK60" s="1018"/>
      <c r="DL60" s="1018"/>
      <c r="DM60" s="1018"/>
      <c r="DN60" s="1018"/>
      <c r="DO60" s="1018"/>
      <c r="DP60" s="1018"/>
      <c r="DQ60" s="1018"/>
      <c r="DR60" s="1018"/>
      <c r="DS60" s="1018"/>
      <c r="DT60" s="1018"/>
      <c r="DU60" s="1018"/>
      <c r="DV60" s="1018"/>
      <c r="DW60" s="1018"/>
      <c r="DX60" s="1018"/>
      <c r="DY60" s="1018"/>
      <c r="DZ60" s="1018"/>
      <c r="EA60" s="1018"/>
      <c r="EB60" s="1018"/>
      <c r="EC60" s="1018"/>
      <c r="ED60" s="1018"/>
      <c r="EE60" s="1018"/>
      <c r="EF60" s="1018"/>
      <c r="EG60" s="1018"/>
      <c r="EH60" s="1018"/>
      <c r="EI60" s="1018"/>
      <c r="EJ60" s="1018"/>
      <c r="EK60" s="1018"/>
      <c r="EL60" s="1018"/>
      <c r="EM60" s="1018"/>
      <c r="EN60" s="1018"/>
      <c r="EO60" s="1018"/>
      <c r="EP60" s="1018"/>
      <c r="EQ60" s="1018"/>
      <c r="ER60" s="1018"/>
      <c r="ES60" s="1018"/>
      <c r="ET60" s="1018"/>
      <c r="EU60" s="1018"/>
      <c r="EV60" s="1018"/>
      <c r="EW60" s="1018"/>
      <c r="EX60" s="1018"/>
      <c r="EY60" s="1018"/>
      <c r="EZ60" s="1018"/>
      <c r="FA60" s="1018"/>
      <c r="FB60" s="1018"/>
      <c r="FC60" s="1018"/>
      <c r="FD60" s="1018"/>
      <c r="FE60" s="1018"/>
      <c r="FF60" s="1018"/>
      <c r="FG60" s="1018"/>
      <c r="FH60" s="1018"/>
      <c r="FI60" s="1018"/>
      <c r="FJ60" s="1018"/>
      <c r="FK60" s="1018"/>
      <c r="FL60" s="1018"/>
      <c r="FM60" s="1018"/>
      <c r="FN60" s="1018"/>
      <c r="FO60" s="1018"/>
      <c r="FP60" s="1018"/>
      <c r="FQ60" s="1018"/>
      <c r="FR60" s="1018"/>
      <c r="FS60" s="1018"/>
      <c r="FT60" s="1018"/>
      <c r="FU60" s="1018"/>
      <c r="FV60" s="1018"/>
      <c r="FW60" s="1018"/>
      <c r="FX60" s="1018"/>
      <c r="FY60" s="1018"/>
      <c r="FZ60" s="1018"/>
      <c r="GA60" s="1018"/>
      <c r="GB60" s="1018"/>
      <c r="GC60" s="1018"/>
      <c r="GD60" s="1018"/>
      <c r="GE60" s="1018"/>
      <c r="GF60" s="1018"/>
      <c r="GG60" s="1018"/>
      <c r="GH60" s="1018"/>
      <c r="GI60" s="1018"/>
      <c r="GJ60" s="1018"/>
      <c r="GK60" s="1018"/>
      <c r="GL60" s="1018"/>
      <c r="GM60" s="1018"/>
      <c r="GN60" s="1018"/>
      <c r="GO60" s="1018"/>
      <c r="GP60" s="1018"/>
      <c r="GQ60" s="1018"/>
      <c r="GR60" s="1018"/>
      <c r="GS60" s="1018"/>
      <c r="GT60" s="1018"/>
      <c r="GU60" s="1018"/>
      <c r="GV60" s="1018"/>
      <c r="GW60" s="1018"/>
      <c r="GX60" s="1018"/>
      <c r="GY60" s="1018"/>
      <c r="GZ60" s="1018"/>
      <c r="HA60" s="1018"/>
    </row>
    <row r="61" spans="1:209" s="1019" customFormat="1" ht="38.25" customHeight="1">
      <c r="A61" s="962">
        <v>12</v>
      </c>
      <c r="B61" s="976" t="s">
        <v>1185</v>
      </c>
      <c r="C61" s="977" t="s">
        <v>730</v>
      </c>
      <c r="D61" s="986" t="s">
        <v>91</v>
      </c>
      <c r="E61" s="950">
        <v>0.5</v>
      </c>
      <c r="F61" s="955" t="s">
        <v>731</v>
      </c>
      <c r="G61" s="978">
        <v>5.36</v>
      </c>
      <c r="H61" s="984">
        <v>17697</v>
      </c>
      <c r="I61" s="955">
        <v>2</v>
      </c>
      <c r="J61" s="973"/>
      <c r="K61" s="958">
        <f t="shared" si="63"/>
        <v>94855.920000000013</v>
      </c>
      <c r="L61" s="973"/>
      <c r="M61" s="973"/>
      <c r="N61" s="973"/>
      <c r="O61" s="973"/>
      <c r="P61" s="973"/>
      <c r="Q61" s="973"/>
      <c r="R61" s="973"/>
      <c r="S61" s="973"/>
      <c r="T61" s="973"/>
      <c r="U61" s="973"/>
      <c r="V61" s="985">
        <v>30</v>
      </c>
      <c r="W61" s="979">
        <f t="shared" ref="W61:W70" si="72">H61*V61%</f>
        <v>5309.0999999999995</v>
      </c>
      <c r="X61" s="979"/>
      <c r="Y61" s="979"/>
      <c r="Z61" s="979"/>
      <c r="AA61" s="979"/>
      <c r="AB61" s="979">
        <v>165</v>
      </c>
      <c r="AC61" s="979">
        <f>K61*AB61%</f>
        <v>156512.26800000001</v>
      </c>
      <c r="AD61" s="958">
        <f t="shared" si="70"/>
        <v>9485.5920000000024</v>
      </c>
      <c r="AE61" s="958">
        <f t="shared" si="68"/>
        <v>266162.88</v>
      </c>
      <c r="AF61" s="958">
        <f t="shared" si="64"/>
        <v>3193954.56</v>
      </c>
      <c r="AG61" s="958">
        <f t="shared" si="65"/>
        <v>94855.920000000013</v>
      </c>
      <c r="AH61" s="958">
        <f t="shared" si="69"/>
        <v>3288810.48</v>
      </c>
      <c r="AI61" s="1016"/>
      <c r="AJ61" s="1016"/>
      <c r="AK61" s="1017"/>
      <c r="AL61" s="1017"/>
      <c r="AM61" s="1018"/>
      <c r="AN61" s="1018"/>
      <c r="AO61" s="1018"/>
      <c r="AP61" s="1018"/>
      <c r="AQ61" s="1018"/>
      <c r="AR61" s="1018"/>
      <c r="AS61" s="1018"/>
      <c r="AT61" s="1018"/>
      <c r="AU61" s="1018"/>
      <c r="AV61" s="1018"/>
      <c r="AW61" s="1018"/>
      <c r="AX61" s="1018"/>
      <c r="AY61" s="1018"/>
      <c r="AZ61" s="1018"/>
      <c r="BA61" s="1018"/>
      <c r="BB61" s="1018"/>
      <c r="BC61" s="1018"/>
      <c r="BD61" s="1018"/>
      <c r="BE61" s="1018"/>
      <c r="BF61" s="1018"/>
      <c r="BG61" s="1018"/>
      <c r="BH61" s="1018"/>
      <c r="BI61" s="1018"/>
      <c r="BJ61" s="1018"/>
      <c r="BK61" s="1018"/>
      <c r="BL61" s="1018"/>
      <c r="BM61" s="1018"/>
      <c r="BN61" s="1018"/>
      <c r="BO61" s="1018"/>
      <c r="BP61" s="1018"/>
      <c r="BQ61" s="1018"/>
      <c r="BR61" s="1018"/>
      <c r="BS61" s="1018"/>
      <c r="BT61" s="1018"/>
      <c r="BU61" s="1018"/>
      <c r="BV61" s="1018"/>
      <c r="BW61" s="1018"/>
      <c r="BX61" s="1018"/>
      <c r="BY61" s="1018"/>
      <c r="BZ61" s="1018"/>
      <c r="CA61" s="1018"/>
      <c r="CB61" s="1018"/>
      <c r="CC61" s="1018"/>
      <c r="CD61" s="1018"/>
      <c r="CE61" s="1018"/>
      <c r="CF61" s="1018"/>
      <c r="CG61" s="1018"/>
      <c r="CH61" s="1018"/>
      <c r="CI61" s="1018"/>
      <c r="CJ61" s="1018"/>
      <c r="CK61" s="1018"/>
      <c r="CL61" s="1018"/>
      <c r="CM61" s="1018"/>
      <c r="CN61" s="1018"/>
      <c r="CO61" s="1018"/>
      <c r="CP61" s="1018"/>
      <c r="CQ61" s="1018"/>
      <c r="CR61" s="1018"/>
      <c r="CS61" s="1018"/>
      <c r="CT61" s="1018"/>
      <c r="CU61" s="1018"/>
      <c r="CV61" s="1018"/>
      <c r="CW61" s="1018"/>
      <c r="CX61" s="1018"/>
      <c r="CY61" s="1018"/>
      <c r="CZ61" s="1018"/>
      <c r="DA61" s="1018"/>
      <c r="DB61" s="1018"/>
      <c r="DC61" s="1018"/>
      <c r="DD61" s="1018"/>
      <c r="DE61" s="1018"/>
      <c r="DF61" s="1018"/>
      <c r="DG61" s="1018"/>
      <c r="DH61" s="1018"/>
      <c r="DI61" s="1018"/>
      <c r="DJ61" s="1018"/>
      <c r="DK61" s="1018"/>
      <c r="DL61" s="1018"/>
      <c r="DM61" s="1018"/>
      <c r="DN61" s="1018"/>
      <c r="DO61" s="1018"/>
      <c r="DP61" s="1018"/>
      <c r="DQ61" s="1018"/>
      <c r="DR61" s="1018"/>
      <c r="DS61" s="1018"/>
      <c r="DT61" s="1018"/>
      <c r="DU61" s="1018"/>
      <c r="DV61" s="1018"/>
      <c r="DW61" s="1018"/>
      <c r="DX61" s="1018"/>
      <c r="DY61" s="1018"/>
      <c r="DZ61" s="1018"/>
      <c r="EA61" s="1018"/>
      <c r="EB61" s="1018"/>
      <c r="EC61" s="1018"/>
      <c r="ED61" s="1018"/>
      <c r="EE61" s="1018"/>
      <c r="EF61" s="1018"/>
      <c r="EG61" s="1018"/>
      <c r="EH61" s="1018"/>
      <c r="EI61" s="1018"/>
      <c r="EJ61" s="1018"/>
      <c r="EK61" s="1018"/>
      <c r="EL61" s="1018"/>
      <c r="EM61" s="1018"/>
      <c r="EN61" s="1018"/>
      <c r="EO61" s="1018"/>
      <c r="EP61" s="1018"/>
      <c r="EQ61" s="1018"/>
      <c r="ER61" s="1018"/>
      <c r="ES61" s="1018"/>
      <c r="ET61" s="1018"/>
      <c r="EU61" s="1018"/>
      <c r="EV61" s="1018"/>
      <c r="EW61" s="1018"/>
      <c r="EX61" s="1018"/>
      <c r="EY61" s="1018"/>
      <c r="EZ61" s="1018"/>
      <c r="FA61" s="1018"/>
      <c r="FB61" s="1018"/>
      <c r="FC61" s="1018"/>
      <c r="FD61" s="1018"/>
      <c r="FE61" s="1018"/>
      <c r="FF61" s="1018"/>
      <c r="FG61" s="1018"/>
      <c r="FH61" s="1018"/>
      <c r="FI61" s="1018"/>
      <c r="FJ61" s="1018"/>
      <c r="FK61" s="1018"/>
      <c r="FL61" s="1018"/>
      <c r="FM61" s="1018"/>
      <c r="FN61" s="1018"/>
      <c r="FO61" s="1018"/>
      <c r="FP61" s="1018"/>
      <c r="FQ61" s="1018"/>
      <c r="FR61" s="1018"/>
      <c r="FS61" s="1018"/>
      <c r="FT61" s="1018"/>
      <c r="FU61" s="1018"/>
      <c r="FV61" s="1018"/>
      <c r="FW61" s="1018"/>
      <c r="FX61" s="1018"/>
      <c r="FY61" s="1018"/>
      <c r="FZ61" s="1018"/>
      <c r="GA61" s="1018"/>
      <c r="GB61" s="1018"/>
      <c r="GC61" s="1018"/>
      <c r="GD61" s="1018"/>
      <c r="GE61" s="1018"/>
      <c r="GF61" s="1018"/>
      <c r="GG61" s="1018"/>
      <c r="GH61" s="1018"/>
      <c r="GI61" s="1018"/>
      <c r="GJ61" s="1018"/>
      <c r="GK61" s="1018"/>
      <c r="GL61" s="1018"/>
      <c r="GM61" s="1018"/>
      <c r="GN61" s="1018"/>
      <c r="GO61" s="1018"/>
      <c r="GP61" s="1018"/>
      <c r="GQ61" s="1018"/>
      <c r="GR61" s="1018"/>
      <c r="GS61" s="1018"/>
      <c r="GT61" s="1018"/>
      <c r="GU61" s="1018"/>
      <c r="GV61" s="1018"/>
      <c r="GW61" s="1018"/>
      <c r="GX61" s="1018"/>
      <c r="GY61" s="1018"/>
      <c r="GZ61" s="1018"/>
      <c r="HA61" s="1018"/>
    </row>
    <row r="62" spans="1:209" s="1019" customFormat="1" ht="43.5" customHeight="1">
      <c r="A62" s="962">
        <v>13</v>
      </c>
      <c r="B62" s="976" t="s">
        <v>1185</v>
      </c>
      <c r="C62" s="952" t="s">
        <v>714</v>
      </c>
      <c r="D62" s="986" t="s">
        <v>91</v>
      </c>
      <c r="E62" s="954">
        <v>1</v>
      </c>
      <c r="F62" s="958" t="s">
        <v>76</v>
      </c>
      <c r="G62" s="978">
        <v>5.28</v>
      </c>
      <c r="H62" s="984">
        <v>17697</v>
      </c>
      <c r="I62" s="955">
        <v>2</v>
      </c>
      <c r="J62" s="973"/>
      <c r="K62" s="958">
        <f t="shared" si="63"/>
        <v>186880.32</v>
      </c>
      <c r="L62" s="973"/>
      <c r="M62" s="973"/>
      <c r="N62" s="973"/>
      <c r="O62" s="973"/>
      <c r="P62" s="973"/>
      <c r="Q62" s="973"/>
      <c r="R62" s="973"/>
      <c r="S62" s="973"/>
      <c r="T62" s="973"/>
      <c r="U62" s="973"/>
      <c r="V62" s="985">
        <v>30</v>
      </c>
      <c r="W62" s="979">
        <f t="shared" si="72"/>
        <v>5309.0999999999995</v>
      </c>
      <c r="X62" s="979"/>
      <c r="Y62" s="979"/>
      <c r="Z62" s="979"/>
      <c r="AA62" s="979"/>
      <c r="AB62" s="1288"/>
      <c r="AC62" s="1288">
        <f>K62*AB62%</f>
        <v>0</v>
      </c>
      <c r="AD62" s="958">
        <f t="shared" si="70"/>
        <v>18688.032000000003</v>
      </c>
      <c r="AE62" s="958">
        <f t="shared" si="68"/>
        <v>210877.45200000002</v>
      </c>
      <c r="AF62" s="958">
        <f t="shared" si="64"/>
        <v>2530529.4240000001</v>
      </c>
      <c r="AG62" s="958">
        <f t="shared" si="65"/>
        <v>186880.32</v>
      </c>
      <c r="AH62" s="958">
        <f t="shared" si="69"/>
        <v>2717409.7439999999</v>
      </c>
      <c r="AI62" s="1016"/>
      <c r="AJ62" s="1016"/>
      <c r="AK62" s="1017"/>
      <c r="AL62" s="1017"/>
      <c r="AM62" s="1018"/>
      <c r="AN62" s="1018"/>
      <c r="AO62" s="1018"/>
      <c r="AP62" s="1018"/>
      <c r="AQ62" s="1018"/>
      <c r="AR62" s="1018"/>
      <c r="AS62" s="1018"/>
      <c r="AT62" s="1018"/>
      <c r="AU62" s="1018"/>
      <c r="AV62" s="1018"/>
      <c r="AW62" s="1018"/>
      <c r="AX62" s="1018"/>
      <c r="AY62" s="1018"/>
      <c r="AZ62" s="1018"/>
      <c r="BA62" s="1018"/>
      <c r="BB62" s="1018"/>
      <c r="BC62" s="1018"/>
      <c r="BD62" s="1018"/>
      <c r="BE62" s="1018"/>
      <c r="BF62" s="1018"/>
      <c r="BG62" s="1018"/>
      <c r="BH62" s="1018"/>
      <c r="BI62" s="1018"/>
      <c r="BJ62" s="1018"/>
      <c r="BK62" s="1018"/>
      <c r="BL62" s="1018"/>
      <c r="BM62" s="1018"/>
      <c r="BN62" s="1018"/>
      <c r="BO62" s="1018"/>
      <c r="BP62" s="1018"/>
      <c r="BQ62" s="1018"/>
      <c r="BR62" s="1018"/>
      <c r="BS62" s="1018"/>
      <c r="BT62" s="1018"/>
      <c r="BU62" s="1018"/>
      <c r="BV62" s="1018"/>
      <c r="BW62" s="1018"/>
      <c r="BX62" s="1018"/>
      <c r="BY62" s="1018"/>
      <c r="BZ62" s="1018"/>
      <c r="CA62" s="1018"/>
      <c r="CB62" s="1018"/>
      <c r="CC62" s="1018"/>
      <c r="CD62" s="1018"/>
      <c r="CE62" s="1018"/>
      <c r="CF62" s="1018"/>
      <c r="CG62" s="1018"/>
      <c r="CH62" s="1018"/>
      <c r="CI62" s="1018"/>
      <c r="CJ62" s="1018"/>
      <c r="CK62" s="1018"/>
      <c r="CL62" s="1018"/>
      <c r="CM62" s="1018"/>
      <c r="CN62" s="1018"/>
      <c r="CO62" s="1018"/>
      <c r="CP62" s="1018"/>
      <c r="CQ62" s="1018"/>
      <c r="CR62" s="1018"/>
      <c r="CS62" s="1018"/>
      <c r="CT62" s="1018"/>
      <c r="CU62" s="1018"/>
      <c r="CV62" s="1018"/>
      <c r="CW62" s="1018"/>
      <c r="CX62" s="1018"/>
      <c r="CY62" s="1018"/>
      <c r="CZ62" s="1018"/>
      <c r="DA62" s="1018"/>
      <c r="DB62" s="1018"/>
      <c r="DC62" s="1018"/>
      <c r="DD62" s="1018"/>
      <c r="DE62" s="1018"/>
      <c r="DF62" s="1018"/>
      <c r="DG62" s="1018"/>
      <c r="DH62" s="1018"/>
      <c r="DI62" s="1018"/>
      <c r="DJ62" s="1018"/>
      <c r="DK62" s="1018"/>
      <c r="DL62" s="1018"/>
      <c r="DM62" s="1018"/>
      <c r="DN62" s="1018"/>
      <c r="DO62" s="1018"/>
      <c r="DP62" s="1018"/>
      <c r="DQ62" s="1018"/>
      <c r="DR62" s="1018"/>
      <c r="DS62" s="1018"/>
      <c r="DT62" s="1018"/>
      <c r="DU62" s="1018"/>
      <c r="DV62" s="1018"/>
      <c r="DW62" s="1018"/>
      <c r="DX62" s="1018"/>
      <c r="DY62" s="1018"/>
      <c r="DZ62" s="1018"/>
      <c r="EA62" s="1018"/>
      <c r="EB62" s="1018"/>
      <c r="EC62" s="1018"/>
      <c r="ED62" s="1018"/>
      <c r="EE62" s="1018"/>
      <c r="EF62" s="1018"/>
      <c r="EG62" s="1018"/>
      <c r="EH62" s="1018"/>
      <c r="EI62" s="1018"/>
      <c r="EJ62" s="1018"/>
      <c r="EK62" s="1018"/>
      <c r="EL62" s="1018"/>
      <c r="EM62" s="1018"/>
      <c r="EN62" s="1018"/>
      <c r="EO62" s="1018"/>
      <c r="EP62" s="1018"/>
      <c r="EQ62" s="1018"/>
      <c r="ER62" s="1018"/>
      <c r="ES62" s="1018"/>
      <c r="ET62" s="1018"/>
      <c r="EU62" s="1018"/>
      <c r="EV62" s="1018"/>
      <c r="EW62" s="1018"/>
      <c r="EX62" s="1018"/>
      <c r="EY62" s="1018"/>
      <c r="EZ62" s="1018"/>
      <c r="FA62" s="1018"/>
      <c r="FB62" s="1018"/>
      <c r="FC62" s="1018"/>
      <c r="FD62" s="1018"/>
      <c r="FE62" s="1018"/>
      <c r="FF62" s="1018"/>
      <c r="FG62" s="1018"/>
      <c r="FH62" s="1018"/>
      <c r="FI62" s="1018"/>
      <c r="FJ62" s="1018"/>
      <c r="FK62" s="1018"/>
      <c r="FL62" s="1018"/>
      <c r="FM62" s="1018"/>
      <c r="FN62" s="1018"/>
      <c r="FO62" s="1018"/>
      <c r="FP62" s="1018"/>
      <c r="FQ62" s="1018"/>
      <c r="FR62" s="1018"/>
      <c r="FS62" s="1018"/>
      <c r="FT62" s="1018"/>
      <c r="FU62" s="1018"/>
      <c r="FV62" s="1018"/>
      <c r="FW62" s="1018"/>
      <c r="FX62" s="1018"/>
      <c r="FY62" s="1018"/>
      <c r="FZ62" s="1018"/>
      <c r="GA62" s="1018"/>
      <c r="GB62" s="1018"/>
      <c r="GC62" s="1018"/>
      <c r="GD62" s="1018"/>
      <c r="GE62" s="1018"/>
      <c r="GF62" s="1018"/>
      <c r="GG62" s="1018"/>
      <c r="GH62" s="1018"/>
      <c r="GI62" s="1018"/>
      <c r="GJ62" s="1018"/>
      <c r="GK62" s="1018"/>
      <c r="GL62" s="1018"/>
      <c r="GM62" s="1018"/>
      <c r="GN62" s="1018"/>
      <c r="GO62" s="1018"/>
      <c r="GP62" s="1018"/>
      <c r="GQ62" s="1018"/>
      <c r="GR62" s="1018"/>
      <c r="GS62" s="1018"/>
      <c r="GT62" s="1018"/>
      <c r="GU62" s="1018"/>
      <c r="GV62" s="1018"/>
      <c r="GW62" s="1018"/>
      <c r="GX62" s="1018"/>
      <c r="GY62" s="1018"/>
      <c r="GZ62" s="1018"/>
      <c r="HA62" s="1018"/>
    </row>
    <row r="63" spans="1:209" s="1019" customFormat="1" ht="55.5" customHeight="1">
      <c r="A63" s="962">
        <v>14</v>
      </c>
      <c r="B63" s="976" t="s">
        <v>1186</v>
      </c>
      <c r="C63" s="977" t="s">
        <v>732</v>
      </c>
      <c r="D63" s="978" t="s">
        <v>99</v>
      </c>
      <c r="E63" s="954">
        <v>1</v>
      </c>
      <c r="F63" s="958" t="s">
        <v>733</v>
      </c>
      <c r="G63" s="983">
        <v>5.82</v>
      </c>
      <c r="H63" s="984">
        <v>17697</v>
      </c>
      <c r="I63" s="955">
        <v>2</v>
      </c>
      <c r="J63" s="973"/>
      <c r="K63" s="958">
        <f t="shared" si="63"/>
        <v>205993.08000000002</v>
      </c>
      <c r="L63" s="973"/>
      <c r="M63" s="973"/>
      <c r="N63" s="973"/>
      <c r="O63" s="973"/>
      <c r="P63" s="973"/>
      <c r="Q63" s="973"/>
      <c r="R63" s="973"/>
      <c r="S63" s="973"/>
      <c r="T63" s="973"/>
      <c r="U63" s="973"/>
      <c r="V63" s="985">
        <v>30</v>
      </c>
      <c r="W63" s="979">
        <f t="shared" si="72"/>
        <v>5309.0999999999995</v>
      </c>
      <c r="X63" s="979"/>
      <c r="Y63" s="958">
        <v>75</v>
      </c>
      <c r="Z63" s="959">
        <f>Y63*350%</f>
        <v>262.5</v>
      </c>
      <c r="AA63" s="959">
        <f t="shared" ref="AA63:AA64" si="73">K63*Z63%</f>
        <v>540731.83500000008</v>
      </c>
      <c r="AB63" s="979"/>
      <c r="AC63" s="979"/>
      <c r="AD63" s="958">
        <f t="shared" si="70"/>
        <v>20599.308000000005</v>
      </c>
      <c r="AE63" s="958">
        <f t="shared" si="68"/>
        <v>772633.32300000009</v>
      </c>
      <c r="AF63" s="958">
        <f t="shared" si="64"/>
        <v>9271599.876000002</v>
      </c>
      <c r="AG63" s="958">
        <f t="shared" si="65"/>
        <v>205993.08000000002</v>
      </c>
      <c r="AH63" s="958">
        <f t="shared" si="69"/>
        <v>9477592.9560000021</v>
      </c>
      <c r="AI63" s="1016"/>
      <c r="AJ63" s="1016"/>
      <c r="AK63" s="1017"/>
      <c r="AL63" s="1017"/>
      <c r="AM63" s="1018"/>
      <c r="AN63" s="1018"/>
      <c r="AO63" s="1018"/>
      <c r="AP63" s="1018"/>
      <c r="AQ63" s="1018"/>
      <c r="AR63" s="1018"/>
      <c r="AS63" s="1018"/>
      <c r="AT63" s="1018"/>
      <c r="AU63" s="1018"/>
      <c r="AV63" s="1018"/>
      <c r="AW63" s="1018"/>
      <c r="AX63" s="1018"/>
      <c r="AY63" s="1018"/>
      <c r="AZ63" s="1018"/>
      <c r="BA63" s="1018"/>
      <c r="BB63" s="1018"/>
      <c r="BC63" s="1018"/>
      <c r="BD63" s="1018"/>
      <c r="BE63" s="1018"/>
      <c r="BF63" s="1018"/>
      <c r="BG63" s="1018"/>
      <c r="BH63" s="1018"/>
      <c r="BI63" s="1018"/>
      <c r="BJ63" s="1018"/>
      <c r="BK63" s="1018"/>
      <c r="BL63" s="1018"/>
      <c r="BM63" s="1018"/>
      <c r="BN63" s="1018"/>
      <c r="BO63" s="1018"/>
      <c r="BP63" s="1018"/>
      <c r="BQ63" s="1018"/>
      <c r="BR63" s="1018"/>
      <c r="BS63" s="1018"/>
      <c r="BT63" s="1018"/>
      <c r="BU63" s="1018"/>
      <c r="BV63" s="1018"/>
      <c r="BW63" s="1018"/>
      <c r="BX63" s="1018"/>
      <c r="BY63" s="1018"/>
      <c r="BZ63" s="1018"/>
      <c r="CA63" s="1018"/>
      <c r="CB63" s="1018"/>
      <c r="CC63" s="1018"/>
      <c r="CD63" s="1018"/>
      <c r="CE63" s="1018"/>
      <c r="CF63" s="1018"/>
      <c r="CG63" s="1018"/>
      <c r="CH63" s="1018"/>
      <c r="CI63" s="1018"/>
      <c r="CJ63" s="1018"/>
      <c r="CK63" s="1018"/>
      <c r="CL63" s="1018"/>
      <c r="CM63" s="1018"/>
      <c r="CN63" s="1018"/>
      <c r="CO63" s="1018"/>
      <c r="CP63" s="1018"/>
      <c r="CQ63" s="1018"/>
      <c r="CR63" s="1018"/>
      <c r="CS63" s="1018"/>
      <c r="CT63" s="1018"/>
      <c r="CU63" s="1018"/>
      <c r="CV63" s="1018"/>
      <c r="CW63" s="1018"/>
      <c r="CX63" s="1018"/>
      <c r="CY63" s="1018"/>
      <c r="CZ63" s="1018"/>
      <c r="DA63" s="1018"/>
      <c r="DB63" s="1018"/>
      <c r="DC63" s="1018"/>
      <c r="DD63" s="1018"/>
      <c r="DE63" s="1018"/>
      <c r="DF63" s="1018"/>
      <c r="DG63" s="1018"/>
      <c r="DH63" s="1018"/>
      <c r="DI63" s="1018"/>
      <c r="DJ63" s="1018"/>
      <c r="DK63" s="1018"/>
      <c r="DL63" s="1018"/>
      <c r="DM63" s="1018"/>
      <c r="DN63" s="1018"/>
      <c r="DO63" s="1018"/>
      <c r="DP63" s="1018"/>
      <c r="DQ63" s="1018"/>
      <c r="DR63" s="1018"/>
      <c r="DS63" s="1018"/>
      <c r="DT63" s="1018"/>
      <c r="DU63" s="1018"/>
      <c r="DV63" s="1018"/>
      <c r="DW63" s="1018"/>
      <c r="DX63" s="1018"/>
      <c r="DY63" s="1018"/>
      <c r="DZ63" s="1018"/>
      <c r="EA63" s="1018"/>
      <c r="EB63" s="1018"/>
      <c r="EC63" s="1018"/>
      <c r="ED63" s="1018"/>
      <c r="EE63" s="1018"/>
      <c r="EF63" s="1018"/>
      <c r="EG63" s="1018"/>
      <c r="EH63" s="1018"/>
      <c r="EI63" s="1018"/>
      <c r="EJ63" s="1018"/>
      <c r="EK63" s="1018"/>
      <c r="EL63" s="1018"/>
      <c r="EM63" s="1018"/>
      <c r="EN63" s="1018"/>
      <c r="EO63" s="1018"/>
      <c r="EP63" s="1018"/>
      <c r="EQ63" s="1018"/>
      <c r="ER63" s="1018"/>
      <c r="ES63" s="1018"/>
      <c r="ET63" s="1018"/>
      <c r="EU63" s="1018"/>
      <c r="EV63" s="1018"/>
      <c r="EW63" s="1018"/>
      <c r="EX63" s="1018"/>
      <c r="EY63" s="1018"/>
      <c r="EZ63" s="1018"/>
      <c r="FA63" s="1018"/>
      <c r="FB63" s="1018"/>
      <c r="FC63" s="1018"/>
      <c r="FD63" s="1018"/>
      <c r="FE63" s="1018"/>
      <c r="FF63" s="1018"/>
      <c r="FG63" s="1018"/>
      <c r="FH63" s="1018"/>
      <c r="FI63" s="1018"/>
      <c r="FJ63" s="1018"/>
      <c r="FK63" s="1018"/>
      <c r="FL63" s="1018"/>
      <c r="FM63" s="1018"/>
      <c r="FN63" s="1018"/>
      <c r="FO63" s="1018"/>
      <c r="FP63" s="1018"/>
      <c r="FQ63" s="1018"/>
      <c r="FR63" s="1018"/>
      <c r="FS63" s="1018"/>
      <c r="FT63" s="1018"/>
      <c r="FU63" s="1018"/>
      <c r="FV63" s="1018"/>
      <c r="FW63" s="1018"/>
      <c r="FX63" s="1018"/>
      <c r="FY63" s="1018"/>
      <c r="FZ63" s="1018"/>
      <c r="GA63" s="1018"/>
      <c r="GB63" s="1018"/>
      <c r="GC63" s="1018"/>
      <c r="GD63" s="1018"/>
      <c r="GE63" s="1018"/>
      <c r="GF63" s="1018"/>
      <c r="GG63" s="1018"/>
      <c r="GH63" s="1018"/>
      <c r="GI63" s="1018"/>
      <c r="GJ63" s="1018"/>
      <c r="GK63" s="1018"/>
      <c r="GL63" s="1018"/>
      <c r="GM63" s="1018"/>
      <c r="GN63" s="1018"/>
      <c r="GO63" s="1018"/>
      <c r="GP63" s="1018"/>
      <c r="GQ63" s="1018"/>
      <c r="GR63" s="1018"/>
      <c r="GS63" s="1018"/>
      <c r="GT63" s="1018"/>
      <c r="GU63" s="1018"/>
      <c r="GV63" s="1018"/>
      <c r="GW63" s="1018"/>
      <c r="GX63" s="1018"/>
      <c r="GY63" s="1018"/>
      <c r="GZ63" s="1018"/>
      <c r="HA63" s="1018"/>
    </row>
    <row r="64" spans="1:209" s="1019" customFormat="1" ht="54" customHeight="1">
      <c r="A64" s="962">
        <v>15</v>
      </c>
      <c r="B64" s="976" t="s">
        <v>1187</v>
      </c>
      <c r="C64" s="977" t="s">
        <v>734</v>
      </c>
      <c r="D64" s="978" t="s">
        <v>99</v>
      </c>
      <c r="E64" s="954">
        <v>1</v>
      </c>
      <c r="F64" s="958" t="s">
        <v>733</v>
      </c>
      <c r="G64" s="978">
        <v>5.82</v>
      </c>
      <c r="H64" s="984">
        <v>17697</v>
      </c>
      <c r="I64" s="955">
        <v>2</v>
      </c>
      <c r="J64" s="973"/>
      <c r="K64" s="958">
        <f t="shared" si="63"/>
        <v>205993.08000000002</v>
      </c>
      <c r="L64" s="973"/>
      <c r="M64" s="973"/>
      <c r="N64" s="973"/>
      <c r="O64" s="973"/>
      <c r="P64" s="973"/>
      <c r="Q64" s="973"/>
      <c r="R64" s="973"/>
      <c r="S64" s="973"/>
      <c r="T64" s="973"/>
      <c r="U64" s="973"/>
      <c r="V64" s="985">
        <v>30</v>
      </c>
      <c r="W64" s="979">
        <f t="shared" si="72"/>
        <v>5309.0999999999995</v>
      </c>
      <c r="X64" s="979"/>
      <c r="Y64" s="958">
        <v>75</v>
      </c>
      <c r="Z64" s="959">
        <f>Y64*350%</f>
        <v>262.5</v>
      </c>
      <c r="AA64" s="959">
        <f t="shared" si="73"/>
        <v>540731.83500000008</v>
      </c>
      <c r="AB64" s="979"/>
      <c r="AC64" s="979"/>
      <c r="AD64" s="958">
        <f t="shared" si="70"/>
        <v>20599.308000000005</v>
      </c>
      <c r="AE64" s="958">
        <f t="shared" si="68"/>
        <v>772633.32300000009</v>
      </c>
      <c r="AF64" s="958">
        <f t="shared" si="64"/>
        <v>9271599.876000002</v>
      </c>
      <c r="AG64" s="958">
        <f t="shared" si="65"/>
        <v>205993.08000000002</v>
      </c>
      <c r="AH64" s="958">
        <f t="shared" si="69"/>
        <v>9477592.9560000021</v>
      </c>
      <c r="AI64" s="1016"/>
      <c r="AJ64" s="1016"/>
      <c r="AK64" s="1017"/>
      <c r="AL64" s="1017"/>
      <c r="AM64" s="1018"/>
      <c r="AN64" s="1018"/>
      <c r="AO64" s="1018"/>
      <c r="AP64" s="1018"/>
      <c r="AQ64" s="1018"/>
      <c r="AR64" s="1018"/>
      <c r="AS64" s="1018"/>
      <c r="AT64" s="1018"/>
      <c r="AU64" s="1018"/>
      <c r="AV64" s="1018"/>
      <c r="AW64" s="1018"/>
      <c r="AX64" s="1018"/>
      <c r="AY64" s="1018"/>
      <c r="AZ64" s="1018"/>
      <c r="BA64" s="1018"/>
      <c r="BB64" s="1018"/>
      <c r="BC64" s="1018"/>
      <c r="BD64" s="1018"/>
      <c r="BE64" s="1018"/>
      <c r="BF64" s="1018"/>
      <c r="BG64" s="1018"/>
      <c r="BH64" s="1018"/>
      <c r="BI64" s="1018"/>
      <c r="BJ64" s="1018"/>
      <c r="BK64" s="1018"/>
      <c r="BL64" s="1018"/>
      <c r="BM64" s="1018"/>
      <c r="BN64" s="1018"/>
      <c r="BO64" s="1018"/>
      <c r="BP64" s="1018"/>
      <c r="BQ64" s="1018"/>
      <c r="BR64" s="1018"/>
      <c r="BS64" s="1018"/>
      <c r="BT64" s="1018"/>
      <c r="BU64" s="1018"/>
      <c r="BV64" s="1018"/>
      <c r="BW64" s="1018"/>
      <c r="BX64" s="1018"/>
      <c r="BY64" s="1018"/>
      <c r="BZ64" s="1018"/>
      <c r="CA64" s="1018"/>
      <c r="CB64" s="1018"/>
      <c r="CC64" s="1018"/>
      <c r="CD64" s="1018"/>
      <c r="CE64" s="1018"/>
      <c r="CF64" s="1018"/>
      <c r="CG64" s="1018"/>
      <c r="CH64" s="1018"/>
      <c r="CI64" s="1018"/>
      <c r="CJ64" s="1018"/>
      <c r="CK64" s="1018"/>
      <c r="CL64" s="1018"/>
      <c r="CM64" s="1018"/>
      <c r="CN64" s="1018"/>
      <c r="CO64" s="1018"/>
      <c r="CP64" s="1018"/>
      <c r="CQ64" s="1018"/>
      <c r="CR64" s="1018"/>
      <c r="CS64" s="1018"/>
      <c r="CT64" s="1018"/>
      <c r="CU64" s="1018"/>
      <c r="CV64" s="1018"/>
      <c r="CW64" s="1018"/>
      <c r="CX64" s="1018"/>
      <c r="CY64" s="1018"/>
      <c r="CZ64" s="1018"/>
      <c r="DA64" s="1018"/>
      <c r="DB64" s="1018"/>
      <c r="DC64" s="1018"/>
      <c r="DD64" s="1018"/>
      <c r="DE64" s="1018"/>
      <c r="DF64" s="1018"/>
      <c r="DG64" s="1018"/>
      <c r="DH64" s="1018"/>
      <c r="DI64" s="1018"/>
      <c r="DJ64" s="1018"/>
      <c r="DK64" s="1018"/>
      <c r="DL64" s="1018"/>
      <c r="DM64" s="1018"/>
      <c r="DN64" s="1018"/>
      <c r="DO64" s="1018"/>
      <c r="DP64" s="1018"/>
      <c r="DQ64" s="1018"/>
      <c r="DR64" s="1018"/>
      <c r="DS64" s="1018"/>
      <c r="DT64" s="1018"/>
      <c r="DU64" s="1018"/>
      <c r="DV64" s="1018"/>
      <c r="DW64" s="1018"/>
      <c r="DX64" s="1018"/>
      <c r="DY64" s="1018"/>
      <c r="DZ64" s="1018"/>
      <c r="EA64" s="1018"/>
      <c r="EB64" s="1018"/>
      <c r="EC64" s="1018"/>
      <c r="ED64" s="1018"/>
      <c r="EE64" s="1018"/>
      <c r="EF64" s="1018"/>
      <c r="EG64" s="1018"/>
      <c r="EH64" s="1018"/>
      <c r="EI64" s="1018"/>
      <c r="EJ64" s="1018"/>
      <c r="EK64" s="1018"/>
      <c r="EL64" s="1018"/>
      <c r="EM64" s="1018"/>
      <c r="EN64" s="1018"/>
      <c r="EO64" s="1018"/>
      <c r="EP64" s="1018"/>
      <c r="EQ64" s="1018"/>
      <c r="ER64" s="1018"/>
      <c r="ES64" s="1018"/>
      <c r="ET64" s="1018"/>
      <c r="EU64" s="1018"/>
      <c r="EV64" s="1018"/>
      <c r="EW64" s="1018"/>
      <c r="EX64" s="1018"/>
      <c r="EY64" s="1018"/>
      <c r="EZ64" s="1018"/>
      <c r="FA64" s="1018"/>
      <c r="FB64" s="1018"/>
      <c r="FC64" s="1018"/>
      <c r="FD64" s="1018"/>
      <c r="FE64" s="1018"/>
      <c r="FF64" s="1018"/>
      <c r="FG64" s="1018"/>
      <c r="FH64" s="1018"/>
      <c r="FI64" s="1018"/>
      <c r="FJ64" s="1018"/>
      <c r="FK64" s="1018"/>
      <c r="FL64" s="1018"/>
      <c r="FM64" s="1018"/>
      <c r="FN64" s="1018"/>
      <c r="FO64" s="1018"/>
      <c r="FP64" s="1018"/>
      <c r="FQ64" s="1018"/>
      <c r="FR64" s="1018"/>
      <c r="FS64" s="1018"/>
      <c r="FT64" s="1018"/>
      <c r="FU64" s="1018"/>
      <c r="FV64" s="1018"/>
      <c r="FW64" s="1018"/>
      <c r="FX64" s="1018"/>
      <c r="FY64" s="1018"/>
      <c r="FZ64" s="1018"/>
      <c r="GA64" s="1018"/>
      <c r="GB64" s="1018"/>
      <c r="GC64" s="1018"/>
      <c r="GD64" s="1018"/>
      <c r="GE64" s="1018"/>
      <c r="GF64" s="1018"/>
      <c r="GG64" s="1018"/>
      <c r="GH64" s="1018"/>
      <c r="GI64" s="1018"/>
      <c r="GJ64" s="1018"/>
      <c r="GK64" s="1018"/>
      <c r="GL64" s="1018"/>
      <c r="GM64" s="1018"/>
      <c r="GN64" s="1018"/>
      <c r="GO64" s="1018"/>
      <c r="GP64" s="1018"/>
      <c r="GQ64" s="1018"/>
      <c r="GR64" s="1018"/>
      <c r="GS64" s="1018"/>
      <c r="GT64" s="1018"/>
      <c r="GU64" s="1018"/>
      <c r="GV64" s="1018"/>
      <c r="GW64" s="1018"/>
      <c r="GX64" s="1018"/>
      <c r="GY64" s="1018"/>
      <c r="GZ64" s="1018"/>
      <c r="HA64" s="1018"/>
    </row>
    <row r="65" spans="1:209" s="1019" customFormat="1" ht="42" customHeight="1">
      <c r="A65" s="962">
        <v>16</v>
      </c>
      <c r="B65" s="976" t="s">
        <v>1188</v>
      </c>
      <c r="C65" s="977" t="s">
        <v>735</v>
      </c>
      <c r="D65" s="986" t="s">
        <v>91</v>
      </c>
      <c r="E65" s="954">
        <v>1</v>
      </c>
      <c r="F65" s="958" t="s">
        <v>685</v>
      </c>
      <c r="G65" s="978">
        <v>5.19</v>
      </c>
      <c r="H65" s="984">
        <v>17697</v>
      </c>
      <c r="I65" s="955">
        <v>2</v>
      </c>
      <c r="J65" s="973"/>
      <c r="K65" s="958">
        <f t="shared" si="63"/>
        <v>183694.86000000002</v>
      </c>
      <c r="L65" s="973"/>
      <c r="M65" s="973"/>
      <c r="N65" s="973"/>
      <c r="O65" s="973"/>
      <c r="P65" s="973"/>
      <c r="Q65" s="973"/>
      <c r="R65" s="973"/>
      <c r="S65" s="973"/>
      <c r="T65" s="973"/>
      <c r="U65" s="973"/>
      <c r="V65" s="985">
        <v>30</v>
      </c>
      <c r="W65" s="979">
        <f>H65*V65%</f>
        <v>5309.0999999999995</v>
      </c>
      <c r="X65" s="979"/>
      <c r="Y65" s="979"/>
      <c r="Z65" s="979"/>
      <c r="AA65" s="979"/>
      <c r="AB65" s="979">
        <v>140</v>
      </c>
      <c r="AC65" s="979">
        <f>K65*AB65%</f>
        <v>257172.804</v>
      </c>
      <c r="AD65" s="958">
        <f t="shared" si="70"/>
        <v>18369.486000000001</v>
      </c>
      <c r="AE65" s="958">
        <f t="shared" si="68"/>
        <v>464546.25</v>
      </c>
      <c r="AF65" s="958">
        <f t="shared" si="64"/>
        <v>5574555</v>
      </c>
      <c r="AG65" s="958">
        <f t="shared" si="65"/>
        <v>183694.86000000002</v>
      </c>
      <c r="AH65" s="958">
        <f t="shared" si="69"/>
        <v>5758249.8600000003</v>
      </c>
      <c r="AI65" s="1016"/>
      <c r="AJ65" s="1016"/>
      <c r="AK65" s="1017"/>
      <c r="AL65" s="1017"/>
      <c r="AM65" s="1018"/>
      <c r="AN65" s="1018"/>
      <c r="AO65" s="1018"/>
      <c r="AP65" s="1018"/>
      <c r="AQ65" s="1018"/>
      <c r="AR65" s="1018"/>
      <c r="AS65" s="1018"/>
      <c r="AT65" s="1018"/>
      <c r="AU65" s="1018"/>
      <c r="AV65" s="1018"/>
      <c r="AW65" s="1018"/>
      <c r="AX65" s="1018"/>
      <c r="AY65" s="1018"/>
      <c r="AZ65" s="1018"/>
      <c r="BA65" s="1018"/>
      <c r="BB65" s="1018"/>
      <c r="BC65" s="1018"/>
      <c r="BD65" s="1018"/>
      <c r="BE65" s="1018"/>
      <c r="BF65" s="1018"/>
      <c r="BG65" s="1018"/>
      <c r="BH65" s="1018"/>
      <c r="BI65" s="1018"/>
      <c r="BJ65" s="1018"/>
      <c r="BK65" s="1018"/>
      <c r="BL65" s="1018"/>
      <c r="BM65" s="1018"/>
      <c r="BN65" s="1018"/>
      <c r="BO65" s="1018"/>
      <c r="BP65" s="1018"/>
      <c r="BQ65" s="1018"/>
      <c r="BR65" s="1018"/>
      <c r="BS65" s="1018"/>
      <c r="BT65" s="1018"/>
      <c r="BU65" s="1018"/>
      <c r="BV65" s="1018"/>
      <c r="BW65" s="1018"/>
      <c r="BX65" s="1018"/>
      <c r="BY65" s="1018"/>
      <c r="BZ65" s="1018"/>
      <c r="CA65" s="1018"/>
      <c r="CB65" s="1018"/>
      <c r="CC65" s="1018"/>
      <c r="CD65" s="1018"/>
      <c r="CE65" s="1018"/>
      <c r="CF65" s="1018"/>
      <c r="CG65" s="1018"/>
      <c r="CH65" s="1018"/>
      <c r="CI65" s="1018"/>
      <c r="CJ65" s="1018"/>
      <c r="CK65" s="1018"/>
      <c r="CL65" s="1018"/>
      <c r="CM65" s="1018"/>
      <c r="CN65" s="1018"/>
      <c r="CO65" s="1018"/>
      <c r="CP65" s="1018"/>
      <c r="CQ65" s="1018"/>
      <c r="CR65" s="1018"/>
      <c r="CS65" s="1018"/>
      <c r="CT65" s="1018"/>
      <c r="CU65" s="1018"/>
      <c r="CV65" s="1018"/>
      <c r="CW65" s="1018"/>
      <c r="CX65" s="1018"/>
      <c r="CY65" s="1018"/>
      <c r="CZ65" s="1018"/>
      <c r="DA65" s="1018"/>
      <c r="DB65" s="1018"/>
      <c r="DC65" s="1018"/>
      <c r="DD65" s="1018"/>
      <c r="DE65" s="1018"/>
      <c r="DF65" s="1018"/>
      <c r="DG65" s="1018"/>
      <c r="DH65" s="1018"/>
      <c r="DI65" s="1018"/>
      <c r="DJ65" s="1018"/>
      <c r="DK65" s="1018"/>
      <c r="DL65" s="1018"/>
      <c r="DM65" s="1018"/>
      <c r="DN65" s="1018"/>
      <c r="DO65" s="1018"/>
      <c r="DP65" s="1018"/>
      <c r="DQ65" s="1018"/>
      <c r="DR65" s="1018"/>
      <c r="DS65" s="1018"/>
      <c r="DT65" s="1018"/>
      <c r="DU65" s="1018"/>
      <c r="DV65" s="1018"/>
      <c r="DW65" s="1018"/>
      <c r="DX65" s="1018"/>
      <c r="DY65" s="1018"/>
      <c r="DZ65" s="1018"/>
      <c r="EA65" s="1018"/>
      <c r="EB65" s="1018"/>
      <c r="EC65" s="1018"/>
      <c r="ED65" s="1018"/>
      <c r="EE65" s="1018"/>
      <c r="EF65" s="1018"/>
      <c r="EG65" s="1018"/>
      <c r="EH65" s="1018"/>
      <c r="EI65" s="1018"/>
      <c r="EJ65" s="1018"/>
      <c r="EK65" s="1018"/>
      <c r="EL65" s="1018"/>
      <c r="EM65" s="1018"/>
      <c r="EN65" s="1018"/>
      <c r="EO65" s="1018"/>
      <c r="EP65" s="1018"/>
      <c r="EQ65" s="1018"/>
      <c r="ER65" s="1018"/>
      <c r="ES65" s="1018"/>
      <c r="ET65" s="1018"/>
      <c r="EU65" s="1018"/>
      <c r="EV65" s="1018"/>
      <c r="EW65" s="1018"/>
      <c r="EX65" s="1018"/>
      <c r="EY65" s="1018"/>
      <c r="EZ65" s="1018"/>
      <c r="FA65" s="1018"/>
      <c r="FB65" s="1018"/>
      <c r="FC65" s="1018"/>
      <c r="FD65" s="1018"/>
      <c r="FE65" s="1018"/>
      <c r="FF65" s="1018"/>
      <c r="FG65" s="1018"/>
      <c r="FH65" s="1018"/>
      <c r="FI65" s="1018"/>
      <c r="FJ65" s="1018"/>
      <c r="FK65" s="1018"/>
      <c r="FL65" s="1018"/>
      <c r="FM65" s="1018"/>
      <c r="FN65" s="1018"/>
      <c r="FO65" s="1018"/>
      <c r="FP65" s="1018"/>
      <c r="FQ65" s="1018"/>
      <c r="FR65" s="1018"/>
      <c r="FS65" s="1018"/>
      <c r="FT65" s="1018"/>
      <c r="FU65" s="1018"/>
      <c r="FV65" s="1018"/>
      <c r="FW65" s="1018"/>
      <c r="FX65" s="1018"/>
      <c r="FY65" s="1018"/>
      <c r="FZ65" s="1018"/>
      <c r="GA65" s="1018"/>
      <c r="GB65" s="1018"/>
      <c r="GC65" s="1018"/>
      <c r="GD65" s="1018"/>
      <c r="GE65" s="1018"/>
      <c r="GF65" s="1018"/>
      <c r="GG65" s="1018"/>
      <c r="GH65" s="1018"/>
      <c r="GI65" s="1018"/>
      <c r="GJ65" s="1018"/>
      <c r="GK65" s="1018"/>
      <c r="GL65" s="1018"/>
      <c r="GM65" s="1018"/>
      <c r="GN65" s="1018"/>
      <c r="GO65" s="1018"/>
      <c r="GP65" s="1018"/>
      <c r="GQ65" s="1018"/>
      <c r="GR65" s="1018"/>
      <c r="GS65" s="1018"/>
      <c r="GT65" s="1018"/>
      <c r="GU65" s="1018"/>
      <c r="GV65" s="1018"/>
      <c r="GW65" s="1018"/>
      <c r="GX65" s="1018"/>
      <c r="GY65" s="1018"/>
      <c r="GZ65" s="1018"/>
      <c r="HA65" s="1018"/>
    </row>
    <row r="66" spans="1:209" s="1019" customFormat="1" ht="43.5" customHeight="1">
      <c r="A66" s="962">
        <v>17</v>
      </c>
      <c r="B66" s="976" t="s">
        <v>1189</v>
      </c>
      <c r="C66" s="977" t="s">
        <v>736</v>
      </c>
      <c r="D66" s="986" t="s">
        <v>91</v>
      </c>
      <c r="E66" s="954">
        <v>1</v>
      </c>
      <c r="F66" s="958" t="s">
        <v>74</v>
      </c>
      <c r="G66" s="978">
        <v>4.9400000000000004</v>
      </c>
      <c r="H66" s="984">
        <v>17697</v>
      </c>
      <c r="I66" s="955">
        <v>2</v>
      </c>
      <c r="J66" s="973"/>
      <c r="K66" s="958">
        <f t="shared" si="63"/>
        <v>174846.36000000002</v>
      </c>
      <c r="L66" s="973"/>
      <c r="M66" s="973"/>
      <c r="N66" s="973"/>
      <c r="O66" s="973"/>
      <c r="P66" s="973"/>
      <c r="Q66" s="973"/>
      <c r="R66" s="973"/>
      <c r="S66" s="973"/>
      <c r="T66" s="973"/>
      <c r="U66" s="973"/>
      <c r="V66" s="985">
        <v>30</v>
      </c>
      <c r="W66" s="979">
        <f>H66*V66%</f>
        <v>5309.0999999999995</v>
      </c>
      <c r="X66" s="979"/>
      <c r="Y66" s="979"/>
      <c r="Z66" s="979"/>
      <c r="AA66" s="979"/>
      <c r="AB66" s="979">
        <v>140</v>
      </c>
      <c r="AC66" s="979">
        <f>K66*AB66%</f>
        <v>244784.90400000001</v>
      </c>
      <c r="AD66" s="958">
        <f t="shared" si="70"/>
        <v>17484.636000000002</v>
      </c>
      <c r="AE66" s="958">
        <f t="shared" si="68"/>
        <v>442425</v>
      </c>
      <c r="AF66" s="958">
        <f t="shared" si="64"/>
        <v>5309100</v>
      </c>
      <c r="AG66" s="958">
        <f t="shared" si="65"/>
        <v>174846.36000000002</v>
      </c>
      <c r="AH66" s="958">
        <f t="shared" si="69"/>
        <v>5483946.3600000003</v>
      </c>
      <c r="AI66" s="1016"/>
      <c r="AJ66" s="1016"/>
      <c r="AK66" s="1017"/>
      <c r="AL66" s="1017"/>
      <c r="AM66" s="1018"/>
      <c r="AN66" s="1018"/>
      <c r="AO66" s="1018"/>
      <c r="AP66" s="1018"/>
      <c r="AQ66" s="1018"/>
      <c r="AR66" s="1018"/>
      <c r="AS66" s="1018"/>
      <c r="AT66" s="1018"/>
      <c r="AU66" s="1018"/>
      <c r="AV66" s="1018"/>
      <c r="AW66" s="1018"/>
      <c r="AX66" s="1018"/>
      <c r="AY66" s="1018"/>
      <c r="AZ66" s="1018"/>
      <c r="BA66" s="1018"/>
      <c r="BB66" s="1018"/>
      <c r="BC66" s="1018"/>
      <c r="BD66" s="1018"/>
      <c r="BE66" s="1018"/>
      <c r="BF66" s="1018"/>
      <c r="BG66" s="1018"/>
      <c r="BH66" s="1018"/>
      <c r="BI66" s="1018"/>
      <c r="BJ66" s="1018"/>
      <c r="BK66" s="1018"/>
      <c r="BL66" s="1018"/>
      <c r="BM66" s="1018"/>
      <c r="BN66" s="1018"/>
      <c r="BO66" s="1018"/>
      <c r="BP66" s="1018"/>
      <c r="BQ66" s="1018"/>
      <c r="BR66" s="1018"/>
      <c r="BS66" s="1018"/>
      <c r="BT66" s="1018"/>
      <c r="BU66" s="1018"/>
      <c r="BV66" s="1018"/>
      <c r="BW66" s="1018"/>
      <c r="BX66" s="1018"/>
      <c r="BY66" s="1018"/>
      <c r="BZ66" s="1018"/>
      <c r="CA66" s="1018"/>
      <c r="CB66" s="1018"/>
      <c r="CC66" s="1018"/>
      <c r="CD66" s="1018"/>
      <c r="CE66" s="1018"/>
      <c r="CF66" s="1018"/>
      <c r="CG66" s="1018"/>
      <c r="CH66" s="1018"/>
      <c r="CI66" s="1018"/>
      <c r="CJ66" s="1018"/>
      <c r="CK66" s="1018"/>
      <c r="CL66" s="1018"/>
      <c r="CM66" s="1018"/>
      <c r="CN66" s="1018"/>
      <c r="CO66" s="1018"/>
      <c r="CP66" s="1018"/>
      <c r="CQ66" s="1018"/>
      <c r="CR66" s="1018"/>
      <c r="CS66" s="1018"/>
      <c r="CT66" s="1018"/>
      <c r="CU66" s="1018"/>
      <c r="CV66" s="1018"/>
      <c r="CW66" s="1018"/>
      <c r="CX66" s="1018"/>
      <c r="CY66" s="1018"/>
      <c r="CZ66" s="1018"/>
      <c r="DA66" s="1018"/>
      <c r="DB66" s="1018"/>
      <c r="DC66" s="1018"/>
      <c r="DD66" s="1018"/>
      <c r="DE66" s="1018"/>
      <c r="DF66" s="1018"/>
      <c r="DG66" s="1018"/>
      <c r="DH66" s="1018"/>
      <c r="DI66" s="1018"/>
      <c r="DJ66" s="1018"/>
      <c r="DK66" s="1018"/>
      <c r="DL66" s="1018"/>
      <c r="DM66" s="1018"/>
      <c r="DN66" s="1018"/>
      <c r="DO66" s="1018"/>
      <c r="DP66" s="1018"/>
      <c r="DQ66" s="1018"/>
      <c r="DR66" s="1018"/>
      <c r="DS66" s="1018"/>
      <c r="DT66" s="1018"/>
      <c r="DU66" s="1018"/>
      <c r="DV66" s="1018"/>
      <c r="DW66" s="1018"/>
      <c r="DX66" s="1018"/>
      <c r="DY66" s="1018"/>
      <c r="DZ66" s="1018"/>
      <c r="EA66" s="1018"/>
      <c r="EB66" s="1018"/>
      <c r="EC66" s="1018"/>
      <c r="ED66" s="1018"/>
      <c r="EE66" s="1018"/>
      <c r="EF66" s="1018"/>
      <c r="EG66" s="1018"/>
      <c r="EH66" s="1018"/>
      <c r="EI66" s="1018"/>
      <c r="EJ66" s="1018"/>
      <c r="EK66" s="1018"/>
      <c r="EL66" s="1018"/>
      <c r="EM66" s="1018"/>
      <c r="EN66" s="1018"/>
      <c r="EO66" s="1018"/>
      <c r="EP66" s="1018"/>
      <c r="EQ66" s="1018"/>
      <c r="ER66" s="1018"/>
      <c r="ES66" s="1018"/>
      <c r="ET66" s="1018"/>
      <c r="EU66" s="1018"/>
      <c r="EV66" s="1018"/>
      <c r="EW66" s="1018"/>
      <c r="EX66" s="1018"/>
      <c r="EY66" s="1018"/>
      <c r="EZ66" s="1018"/>
      <c r="FA66" s="1018"/>
      <c r="FB66" s="1018"/>
      <c r="FC66" s="1018"/>
      <c r="FD66" s="1018"/>
      <c r="FE66" s="1018"/>
      <c r="FF66" s="1018"/>
      <c r="FG66" s="1018"/>
      <c r="FH66" s="1018"/>
      <c r="FI66" s="1018"/>
      <c r="FJ66" s="1018"/>
      <c r="FK66" s="1018"/>
      <c r="FL66" s="1018"/>
      <c r="FM66" s="1018"/>
      <c r="FN66" s="1018"/>
      <c r="FO66" s="1018"/>
      <c r="FP66" s="1018"/>
      <c r="FQ66" s="1018"/>
      <c r="FR66" s="1018"/>
      <c r="FS66" s="1018"/>
      <c r="FT66" s="1018"/>
      <c r="FU66" s="1018"/>
      <c r="FV66" s="1018"/>
      <c r="FW66" s="1018"/>
      <c r="FX66" s="1018"/>
      <c r="FY66" s="1018"/>
      <c r="FZ66" s="1018"/>
      <c r="GA66" s="1018"/>
      <c r="GB66" s="1018"/>
      <c r="GC66" s="1018"/>
      <c r="GD66" s="1018"/>
      <c r="GE66" s="1018"/>
      <c r="GF66" s="1018"/>
      <c r="GG66" s="1018"/>
      <c r="GH66" s="1018"/>
      <c r="GI66" s="1018"/>
      <c r="GJ66" s="1018"/>
      <c r="GK66" s="1018"/>
      <c r="GL66" s="1018"/>
      <c r="GM66" s="1018"/>
      <c r="GN66" s="1018"/>
      <c r="GO66" s="1018"/>
      <c r="GP66" s="1018"/>
      <c r="GQ66" s="1018"/>
      <c r="GR66" s="1018"/>
      <c r="GS66" s="1018"/>
      <c r="GT66" s="1018"/>
      <c r="GU66" s="1018"/>
      <c r="GV66" s="1018"/>
      <c r="GW66" s="1018"/>
      <c r="GX66" s="1018"/>
      <c r="GY66" s="1018"/>
      <c r="GZ66" s="1018"/>
      <c r="HA66" s="1018"/>
    </row>
    <row r="67" spans="1:209" s="1019" customFormat="1" ht="43.5" customHeight="1">
      <c r="A67" s="962">
        <v>18</v>
      </c>
      <c r="B67" s="976" t="s">
        <v>1188</v>
      </c>
      <c r="C67" s="981" t="s">
        <v>737</v>
      </c>
      <c r="D67" s="986" t="s">
        <v>91</v>
      </c>
      <c r="E67" s="950">
        <v>0.5</v>
      </c>
      <c r="F67" s="958" t="s">
        <v>78</v>
      </c>
      <c r="G67" s="978">
        <v>5.0999999999999996</v>
      </c>
      <c r="H67" s="984">
        <v>17697</v>
      </c>
      <c r="I67" s="955">
        <v>2</v>
      </c>
      <c r="J67" s="973"/>
      <c r="K67" s="958">
        <f t="shared" si="63"/>
        <v>90254.7</v>
      </c>
      <c r="L67" s="973"/>
      <c r="M67" s="973"/>
      <c r="N67" s="973"/>
      <c r="O67" s="973"/>
      <c r="P67" s="973"/>
      <c r="Q67" s="973"/>
      <c r="R67" s="973"/>
      <c r="S67" s="973"/>
      <c r="T67" s="973"/>
      <c r="U67" s="973"/>
      <c r="V67" s="985">
        <v>30</v>
      </c>
      <c r="W67" s="979">
        <f>H67*V67%</f>
        <v>5309.0999999999995</v>
      </c>
      <c r="X67" s="979"/>
      <c r="Y67" s="979"/>
      <c r="Z67" s="979"/>
      <c r="AA67" s="979"/>
      <c r="AB67" s="979">
        <v>140</v>
      </c>
      <c r="AC67" s="979">
        <f>K67*AB67%</f>
        <v>126356.57999999999</v>
      </c>
      <c r="AD67" s="958">
        <f t="shared" si="70"/>
        <v>9025.4699999999993</v>
      </c>
      <c r="AE67" s="958">
        <f t="shared" si="68"/>
        <v>230945.84999999998</v>
      </c>
      <c r="AF67" s="958">
        <f t="shared" si="64"/>
        <v>2771350.1999999997</v>
      </c>
      <c r="AG67" s="958">
        <f t="shared" si="65"/>
        <v>90254.7</v>
      </c>
      <c r="AH67" s="958">
        <f t="shared" si="69"/>
        <v>2861604.9</v>
      </c>
      <c r="AI67" s="1016"/>
      <c r="AJ67" s="1016"/>
      <c r="AK67" s="1017"/>
      <c r="AL67" s="1017"/>
      <c r="AM67" s="1018"/>
      <c r="AN67" s="1018"/>
      <c r="AO67" s="1018"/>
      <c r="AP67" s="1018"/>
      <c r="AQ67" s="1018"/>
      <c r="AR67" s="1018"/>
      <c r="AS67" s="1018"/>
      <c r="AT67" s="1018"/>
      <c r="AU67" s="1018"/>
      <c r="AV67" s="1018"/>
      <c r="AW67" s="1018"/>
      <c r="AX67" s="1018"/>
      <c r="AY67" s="1018"/>
      <c r="AZ67" s="1018"/>
      <c r="BA67" s="1018"/>
      <c r="BB67" s="1018"/>
      <c r="BC67" s="1018"/>
      <c r="BD67" s="1018"/>
      <c r="BE67" s="1018"/>
      <c r="BF67" s="1018"/>
      <c r="BG67" s="1018"/>
      <c r="BH67" s="1018"/>
      <c r="BI67" s="1018"/>
      <c r="BJ67" s="1018"/>
      <c r="BK67" s="1018"/>
      <c r="BL67" s="1018"/>
      <c r="BM67" s="1018"/>
      <c r="BN67" s="1018"/>
      <c r="BO67" s="1018"/>
      <c r="BP67" s="1018"/>
      <c r="BQ67" s="1018"/>
      <c r="BR67" s="1018"/>
      <c r="BS67" s="1018"/>
      <c r="BT67" s="1018"/>
      <c r="BU67" s="1018"/>
      <c r="BV67" s="1018"/>
      <c r="BW67" s="1018"/>
      <c r="BX67" s="1018"/>
      <c r="BY67" s="1018"/>
      <c r="BZ67" s="1018"/>
      <c r="CA67" s="1018"/>
      <c r="CB67" s="1018"/>
      <c r="CC67" s="1018"/>
      <c r="CD67" s="1018"/>
      <c r="CE67" s="1018"/>
      <c r="CF67" s="1018"/>
      <c r="CG67" s="1018"/>
      <c r="CH67" s="1018"/>
      <c r="CI67" s="1018"/>
      <c r="CJ67" s="1018"/>
      <c r="CK67" s="1018"/>
      <c r="CL67" s="1018"/>
      <c r="CM67" s="1018"/>
      <c r="CN67" s="1018"/>
      <c r="CO67" s="1018"/>
      <c r="CP67" s="1018"/>
      <c r="CQ67" s="1018"/>
      <c r="CR67" s="1018"/>
      <c r="CS67" s="1018"/>
      <c r="CT67" s="1018"/>
      <c r="CU67" s="1018"/>
      <c r="CV67" s="1018"/>
      <c r="CW67" s="1018"/>
      <c r="CX67" s="1018"/>
      <c r="CY67" s="1018"/>
      <c r="CZ67" s="1018"/>
      <c r="DA67" s="1018"/>
      <c r="DB67" s="1018"/>
      <c r="DC67" s="1018"/>
      <c r="DD67" s="1018"/>
      <c r="DE67" s="1018"/>
      <c r="DF67" s="1018"/>
      <c r="DG67" s="1018"/>
      <c r="DH67" s="1018"/>
      <c r="DI67" s="1018"/>
      <c r="DJ67" s="1018"/>
      <c r="DK67" s="1018"/>
      <c r="DL67" s="1018"/>
      <c r="DM67" s="1018"/>
      <c r="DN67" s="1018"/>
      <c r="DO67" s="1018"/>
      <c r="DP67" s="1018"/>
      <c r="DQ67" s="1018"/>
      <c r="DR67" s="1018"/>
      <c r="DS67" s="1018"/>
      <c r="DT67" s="1018"/>
      <c r="DU67" s="1018"/>
      <c r="DV67" s="1018"/>
      <c r="DW67" s="1018"/>
      <c r="DX67" s="1018"/>
      <c r="DY67" s="1018"/>
      <c r="DZ67" s="1018"/>
      <c r="EA67" s="1018"/>
      <c r="EB67" s="1018"/>
      <c r="EC67" s="1018"/>
      <c r="ED67" s="1018"/>
      <c r="EE67" s="1018"/>
      <c r="EF67" s="1018"/>
      <c r="EG67" s="1018"/>
      <c r="EH67" s="1018"/>
      <c r="EI67" s="1018"/>
      <c r="EJ67" s="1018"/>
      <c r="EK67" s="1018"/>
      <c r="EL67" s="1018"/>
      <c r="EM67" s="1018"/>
      <c r="EN67" s="1018"/>
      <c r="EO67" s="1018"/>
      <c r="EP67" s="1018"/>
      <c r="EQ67" s="1018"/>
      <c r="ER67" s="1018"/>
      <c r="ES67" s="1018"/>
      <c r="ET67" s="1018"/>
      <c r="EU67" s="1018"/>
      <c r="EV67" s="1018"/>
      <c r="EW67" s="1018"/>
      <c r="EX67" s="1018"/>
      <c r="EY67" s="1018"/>
      <c r="EZ67" s="1018"/>
      <c r="FA67" s="1018"/>
      <c r="FB67" s="1018"/>
      <c r="FC67" s="1018"/>
      <c r="FD67" s="1018"/>
      <c r="FE67" s="1018"/>
      <c r="FF67" s="1018"/>
      <c r="FG67" s="1018"/>
      <c r="FH67" s="1018"/>
      <c r="FI67" s="1018"/>
      <c r="FJ67" s="1018"/>
      <c r="FK67" s="1018"/>
      <c r="FL67" s="1018"/>
      <c r="FM67" s="1018"/>
      <c r="FN67" s="1018"/>
      <c r="FO67" s="1018"/>
      <c r="FP67" s="1018"/>
      <c r="FQ67" s="1018"/>
      <c r="FR67" s="1018"/>
      <c r="FS67" s="1018"/>
      <c r="FT67" s="1018"/>
      <c r="FU67" s="1018"/>
      <c r="FV67" s="1018"/>
      <c r="FW67" s="1018"/>
      <c r="FX67" s="1018"/>
      <c r="FY67" s="1018"/>
      <c r="FZ67" s="1018"/>
      <c r="GA67" s="1018"/>
      <c r="GB67" s="1018"/>
      <c r="GC67" s="1018"/>
      <c r="GD67" s="1018"/>
      <c r="GE67" s="1018"/>
      <c r="GF67" s="1018"/>
      <c r="GG67" s="1018"/>
      <c r="GH67" s="1018"/>
      <c r="GI67" s="1018"/>
      <c r="GJ67" s="1018"/>
      <c r="GK67" s="1018"/>
      <c r="GL67" s="1018"/>
      <c r="GM67" s="1018"/>
      <c r="GN67" s="1018"/>
      <c r="GO67" s="1018"/>
      <c r="GP67" s="1018"/>
      <c r="GQ67" s="1018"/>
      <c r="GR67" s="1018"/>
      <c r="GS67" s="1018"/>
      <c r="GT67" s="1018"/>
      <c r="GU67" s="1018"/>
      <c r="GV67" s="1018"/>
      <c r="GW67" s="1018"/>
      <c r="GX67" s="1018"/>
      <c r="GY67" s="1018"/>
      <c r="GZ67" s="1018"/>
      <c r="HA67" s="1018"/>
    </row>
    <row r="68" spans="1:209" s="1019" customFormat="1" ht="43.5" customHeight="1">
      <c r="A68" s="962">
        <v>19</v>
      </c>
      <c r="B68" s="976" t="s">
        <v>1189</v>
      </c>
      <c r="C68" s="981" t="s">
        <v>738</v>
      </c>
      <c r="D68" s="986" t="s">
        <v>91</v>
      </c>
      <c r="E68" s="950">
        <v>0.5</v>
      </c>
      <c r="F68" s="958" t="s">
        <v>76</v>
      </c>
      <c r="G68" s="978">
        <v>5.28</v>
      </c>
      <c r="H68" s="984">
        <v>17697</v>
      </c>
      <c r="I68" s="955">
        <v>2</v>
      </c>
      <c r="J68" s="973"/>
      <c r="K68" s="958">
        <f t="shared" si="63"/>
        <v>93440.16</v>
      </c>
      <c r="L68" s="973"/>
      <c r="M68" s="973"/>
      <c r="N68" s="973"/>
      <c r="O68" s="973"/>
      <c r="P68" s="973"/>
      <c r="Q68" s="973"/>
      <c r="R68" s="973"/>
      <c r="S68" s="973"/>
      <c r="T68" s="973"/>
      <c r="U68" s="973"/>
      <c r="V68" s="985">
        <v>30</v>
      </c>
      <c r="W68" s="979">
        <f>H68*V68%</f>
        <v>5309.0999999999995</v>
      </c>
      <c r="X68" s="979"/>
      <c r="Y68" s="979"/>
      <c r="Z68" s="979"/>
      <c r="AA68" s="979"/>
      <c r="AB68" s="979">
        <v>140</v>
      </c>
      <c r="AC68" s="979">
        <f>K68*AB68%</f>
        <v>130816.224</v>
      </c>
      <c r="AD68" s="958">
        <f t="shared" si="70"/>
        <v>9344.0160000000014</v>
      </c>
      <c r="AE68" s="958">
        <f t="shared" si="68"/>
        <v>238909.5</v>
      </c>
      <c r="AF68" s="958">
        <f t="shared" si="64"/>
        <v>2866914</v>
      </c>
      <c r="AG68" s="958">
        <f t="shared" si="65"/>
        <v>93440.16</v>
      </c>
      <c r="AH68" s="958">
        <f t="shared" si="69"/>
        <v>2960354.16</v>
      </c>
      <c r="AI68" s="1016"/>
      <c r="AJ68" s="1016"/>
      <c r="AK68" s="1017"/>
      <c r="AL68" s="1017"/>
      <c r="AM68" s="1018"/>
      <c r="AN68" s="1018"/>
      <c r="AO68" s="1018"/>
      <c r="AP68" s="1018"/>
      <c r="AQ68" s="1018"/>
      <c r="AR68" s="1018"/>
      <c r="AS68" s="1018"/>
      <c r="AT68" s="1018"/>
      <c r="AU68" s="1018"/>
      <c r="AV68" s="1018"/>
      <c r="AW68" s="1018"/>
      <c r="AX68" s="1018"/>
      <c r="AY68" s="1018"/>
      <c r="AZ68" s="1018"/>
      <c r="BA68" s="1018"/>
      <c r="BB68" s="1018"/>
      <c r="BC68" s="1018"/>
      <c r="BD68" s="1018"/>
      <c r="BE68" s="1018"/>
      <c r="BF68" s="1018"/>
      <c r="BG68" s="1018"/>
      <c r="BH68" s="1018"/>
      <c r="BI68" s="1018"/>
      <c r="BJ68" s="1018"/>
      <c r="BK68" s="1018"/>
      <c r="BL68" s="1018"/>
      <c r="BM68" s="1018"/>
      <c r="BN68" s="1018"/>
      <c r="BO68" s="1018"/>
      <c r="BP68" s="1018"/>
      <c r="BQ68" s="1018"/>
      <c r="BR68" s="1018"/>
      <c r="BS68" s="1018"/>
      <c r="BT68" s="1018"/>
      <c r="BU68" s="1018"/>
      <c r="BV68" s="1018"/>
      <c r="BW68" s="1018"/>
      <c r="BX68" s="1018"/>
      <c r="BY68" s="1018"/>
      <c r="BZ68" s="1018"/>
      <c r="CA68" s="1018"/>
      <c r="CB68" s="1018"/>
      <c r="CC68" s="1018"/>
      <c r="CD68" s="1018"/>
      <c r="CE68" s="1018"/>
      <c r="CF68" s="1018"/>
      <c r="CG68" s="1018"/>
      <c r="CH68" s="1018"/>
      <c r="CI68" s="1018"/>
      <c r="CJ68" s="1018"/>
      <c r="CK68" s="1018"/>
      <c r="CL68" s="1018"/>
      <c r="CM68" s="1018"/>
      <c r="CN68" s="1018"/>
      <c r="CO68" s="1018"/>
      <c r="CP68" s="1018"/>
      <c r="CQ68" s="1018"/>
      <c r="CR68" s="1018"/>
      <c r="CS68" s="1018"/>
      <c r="CT68" s="1018"/>
      <c r="CU68" s="1018"/>
      <c r="CV68" s="1018"/>
      <c r="CW68" s="1018"/>
      <c r="CX68" s="1018"/>
      <c r="CY68" s="1018"/>
      <c r="CZ68" s="1018"/>
      <c r="DA68" s="1018"/>
      <c r="DB68" s="1018"/>
      <c r="DC68" s="1018"/>
      <c r="DD68" s="1018"/>
      <c r="DE68" s="1018"/>
      <c r="DF68" s="1018"/>
      <c r="DG68" s="1018"/>
      <c r="DH68" s="1018"/>
      <c r="DI68" s="1018"/>
      <c r="DJ68" s="1018"/>
      <c r="DK68" s="1018"/>
      <c r="DL68" s="1018"/>
      <c r="DM68" s="1018"/>
      <c r="DN68" s="1018"/>
      <c r="DO68" s="1018"/>
      <c r="DP68" s="1018"/>
      <c r="DQ68" s="1018"/>
      <c r="DR68" s="1018"/>
      <c r="DS68" s="1018"/>
      <c r="DT68" s="1018"/>
      <c r="DU68" s="1018"/>
      <c r="DV68" s="1018"/>
      <c r="DW68" s="1018"/>
      <c r="DX68" s="1018"/>
      <c r="DY68" s="1018"/>
      <c r="DZ68" s="1018"/>
      <c r="EA68" s="1018"/>
      <c r="EB68" s="1018"/>
      <c r="EC68" s="1018"/>
      <c r="ED68" s="1018"/>
      <c r="EE68" s="1018"/>
      <c r="EF68" s="1018"/>
      <c r="EG68" s="1018"/>
      <c r="EH68" s="1018"/>
      <c r="EI68" s="1018"/>
      <c r="EJ68" s="1018"/>
      <c r="EK68" s="1018"/>
      <c r="EL68" s="1018"/>
      <c r="EM68" s="1018"/>
      <c r="EN68" s="1018"/>
      <c r="EO68" s="1018"/>
      <c r="EP68" s="1018"/>
      <c r="EQ68" s="1018"/>
      <c r="ER68" s="1018"/>
      <c r="ES68" s="1018"/>
      <c r="ET68" s="1018"/>
      <c r="EU68" s="1018"/>
      <c r="EV68" s="1018"/>
      <c r="EW68" s="1018"/>
      <c r="EX68" s="1018"/>
      <c r="EY68" s="1018"/>
      <c r="EZ68" s="1018"/>
      <c r="FA68" s="1018"/>
      <c r="FB68" s="1018"/>
      <c r="FC68" s="1018"/>
      <c r="FD68" s="1018"/>
      <c r="FE68" s="1018"/>
      <c r="FF68" s="1018"/>
      <c r="FG68" s="1018"/>
      <c r="FH68" s="1018"/>
      <c r="FI68" s="1018"/>
      <c r="FJ68" s="1018"/>
      <c r="FK68" s="1018"/>
      <c r="FL68" s="1018"/>
      <c r="FM68" s="1018"/>
      <c r="FN68" s="1018"/>
      <c r="FO68" s="1018"/>
      <c r="FP68" s="1018"/>
      <c r="FQ68" s="1018"/>
      <c r="FR68" s="1018"/>
      <c r="FS68" s="1018"/>
      <c r="FT68" s="1018"/>
      <c r="FU68" s="1018"/>
      <c r="FV68" s="1018"/>
      <c r="FW68" s="1018"/>
      <c r="FX68" s="1018"/>
      <c r="FY68" s="1018"/>
      <c r="FZ68" s="1018"/>
      <c r="GA68" s="1018"/>
      <c r="GB68" s="1018"/>
      <c r="GC68" s="1018"/>
      <c r="GD68" s="1018"/>
      <c r="GE68" s="1018"/>
      <c r="GF68" s="1018"/>
      <c r="GG68" s="1018"/>
      <c r="GH68" s="1018"/>
      <c r="GI68" s="1018"/>
      <c r="GJ68" s="1018"/>
      <c r="GK68" s="1018"/>
      <c r="GL68" s="1018"/>
      <c r="GM68" s="1018"/>
      <c r="GN68" s="1018"/>
      <c r="GO68" s="1018"/>
      <c r="GP68" s="1018"/>
      <c r="GQ68" s="1018"/>
      <c r="GR68" s="1018"/>
      <c r="GS68" s="1018"/>
      <c r="GT68" s="1018"/>
      <c r="GU68" s="1018"/>
      <c r="GV68" s="1018"/>
      <c r="GW68" s="1018"/>
      <c r="GX68" s="1018"/>
      <c r="GY68" s="1018"/>
      <c r="GZ68" s="1018"/>
      <c r="HA68" s="1018"/>
    </row>
    <row r="69" spans="1:209" s="1019" customFormat="1" ht="43.5" customHeight="1">
      <c r="A69" s="962">
        <v>20</v>
      </c>
      <c r="B69" s="976" t="s">
        <v>1190</v>
      </c>
      <c r="C69" s="977" t="s">
        <v>739</v>
      </c>
      <c r="D69" s="978" t="s">
        <v>99</v>
      </c>
      <c r="E69" s="954">
        <v>1</v>
      </c>
      <c r="F69" s="958" t="s">
        <v>740</v>
      </c>
      <c r="G69" s="983">
        <v>5.51</v>
      </c>
      <c r="H69" s="984">
        <v>17697</v>
      </c>
      <c r="I69" s="955">
        <v>2</v>
      </c>
      <c r="J69" s="973"/>
      <c r="K69" s="958">
        <f t="shared" si="63"/>
        <v>195020.94</v>
      </c>
      <c r="L69" s="973"/>
      <c r="M69" s="973"/>
      <c r="N69" s="973"/>
      <c r="O69" s="973"/>
      <c r="P69" s="973"/>
      <c r="Q69" s="973"/>
      <c r="R69" s="973"/>
      <c r="S69" s="973"/>
      <c r="T69" s="973"/>
      <c r="U69" s="973"/>
      <c r="V69" s="985">
        <v>30</v>
      </c>
      <c r="W69" s="979">
        <f t="shared" si="72"/>
        <v>5309.0999999999995</v>
      </c>
      <c r="X69" s="979"/>
      <c r="Y69" s="958">
        <v>75</v>
      </c>
      <c r="Z69" s="959">
        <f>Y69*350%</f>
        <v>262.5</v>
      </c>
      <c r="AA69" s="959">
        <f t="shared" ref="AA69:AA70" si="74">K69*Z69%</f>
        <v>511929.96750000003</v>
      </c>
      <c r="AB69" s="979"/>
      <c r="AC69" s="979"/>
      <c r="AD69" s="958">
        <f t="shared" si="70"/>
        <v>19502.094000000001</v>
      </c>
      <c r="AE69" s="958">
        <f t="shared" si="68"/>
        <v>731762.10150000011</v>
      </c>
      <c r="AF69" s="958">
        <f t="shared" si="64"/>
        <v>8781145.2180000022</v>
      </c>
      <c r="AG69" s="958">
        <f t="shared" si="65"/>
        <v>195020.94</v>
      </c>
      <c r="AH69" s="958">
        <f t="shared" si="69"/>
        <v>8976166.1580000017</v>
      </c>
      <c r="AI69" s="1016"/>
      <c r="AJ69" s="1016"/>
      <c r="AK69" s="1017"/>
      <c r="AL69" s="1017"/>
      <c r="AM69" s="1018"/>
      <c r="AN69" s="1018"/>
      <c r="AO69" s="1018"/>
      <c r="AP69" s="1018"/>
      <c r="AQ69" s="1018"/>
      <c r="AR69" s="1018"/>
      <c r="AS69" s="1018"/>
      <c r="AT69" s="1018"/>
      <c r="AU69" s="1018"/>
      <c r="AV69" s="1018"/>
      <c r="AW69" s="1018"/>
      <c r="AX69" s="1018"/>
      <c r="AY69" s="1018"/>
      <c r="AZ69" s="1018"/>
      <c r="BA69" s="1018"/>
      <c r="BB69" s="1018"/>
      <c r="BC69" s="1018"/>
      <c r="BD69" s="1018"/>
      <c r="BE69" s="1018"/>
      <c r="BF69" s="1018"/>
      <c r="BG69" s="1018"/>
      <c r="BH69" s="1018"/>
      <c r="BI69" s="1018"/>
      <c r="BJ69" s="1018"/>
      <c r="BK69" s="1018"/>
      <c r="BL69" s="1018"/>
      <c r="BM69" s="1018"/>
      <c r="BN69" s="1018"/>
      <c r="BO69" s="1018"/>
      <c r="BP69" s="1018"/>
      <c r="BQ69" s="1018"/>
      <c r="BR69" s="1018"/>
      <c r="BS69" s="1018"/>
      <c r="BT69" s="1018"/>
      <c r="BU69" s="1018"/>
      <c r="BV69" s="1018"/>
      <c r="BW69" s="1018"/>
      <c r="BX69" s="1018"/>
      <c r="BY69" s="1018"/>
      <c r="BZ69" s="1018"/>
      <c r="CA69" s="1018"/>
      <c r="CB69" s="1018"/>
      <c r="CC69" s="1018"/>
      <c r="CD69" s="1018"/>
      <c r="CE69" s="1018"/>
      <c r="CF69" s="1018"/>
      <c r="CG69" s="1018"/>
      <c r="CH69" s="1018"/>
      <c r="CI69" s="1018"/>
      <c r="CJ69" s="1018"/>
      <c r="CK69" s="1018"/>
      <c r="CL69" s="1018"/>
      <c r="CM69" s="1018"/>
      <c r="CN69" s="1018"/>
      <c r="CO69" s="1018"/>
      <c r="CP69" s="1018"/>
      <c r="CQ69" s="1018"/>
      <c r="CR69" s="1018"/>
      <c r="CS69" s="1018"/>
      <c r="CT69" s="1018"/>
      <c r="CU69" s="1018"/>
      <c r="CV69" s="1018"/>
      <c r="CW69" s="1018"/>
      <c r="CX69" s="1018"/>
      <c r="CY69" s="1018"/>
      <c r="CZ69" s="1018"/>
      <c r="DA69" s="1018"/>
      <c r="DB69" s="1018"/>
      <c r="DC69" s="1018"/>
      <c r="DD69" s="1018"/>
      <c r="DE69" s="1018"/>
      <c r="DF69" s="1018"/>
      <c r="DG69" s="1018"/>
      <c r="DH69" s="1018"/>
      <c r="DI69" s="1018"/>
      <c r="DJ69" s="1018"/>
      <c r="DK69" s="1018"/>
      <c r="DL69" s="1018"/>
      <c r="DM69" s="1018"/>
      <c r="DN69" s="1018"/>
      <c r="DO69" s="1018"/>
      <c r="DP69" s="1018"/>
      <c r="DQ69" s="1018"/>
      <c r="DR69" s="1018"/>
      <c r="DS69" s="1018"/>
      <c r="DT69" s="1018"/>
      <c r="DU69" s="1018"/>
      <c r="DV69" s="1018"/>
      <c r="DW69" s="1018"/>
      <c r="DX69" s="1018"/>
      <c r="DY69" s="1018"/>
      <c r="DZ69" s="1018"/>
      <c r="EA69" s="1018"/>
      <c r="EB69" s="1018"/>
      <c r="EC69" s="1018"/>
      <c r="ED69" s="1018"/>
      <c r="EE69" s="1018"/>
      <c r="EF69" s="1018"/>
      <c r="EG69" s="1018"/>
      <c r="EH69" s="1018"/>
      <c r="EI69" s="1018"/>
      <c r="EJ69" s="1018"/>
      <c r="EK69" s="1018"/>
      <c r="EL69" s="1018"/>
      <c r="EM69" s="1018"/>
      <c r="EN69" s="1018"/>
      <c r="EO69" s="1018"/>
      <c r="EP69" s="1018"/>
      <c r="EQ69" s="1018"/>
      <c r="ER69" s="1018"/>
      <c r="ES69" s="1018"/>
      <c r="ET69" s="1018"/>
      <c r="EU69" s="1018"/>
      <c r="EV69" s="1018"/>
      <c r="EW69" s="1018"/>
      <c r="EX69" s="1018"/>
      <c r="EY69" s="1018"/>
      <c r="EZ69" s="1018"/>
      <c r="FA69" s="1018"/>
      <c r="FB69" s="1018"/>
      <c r="FC69" s="1018"/>
      <c r="FD69" s="1018"/>
      <c r="FE69" s="1018"/>
      <c r="FF69" s="1018"/>
      <c r="FG69" s="1018"/>
      <c r="FH69" s="1018"/>
      <c r="FI69" s="1018"/>
      <c r="FJ69" s="1018"/>
      <c r="FK69" s="1018"/>
      <c r="FL69" s="1018"/>
      <c r="FM69" s="1018"/>
      <c r="FN69" s="1018"/>
      <c r="FO69" s="1018"/>
      <c r="FP69" s="1018"/>
      <c r="FQ69" s="1018"/>
      <c r="FR69" s="1018"/>
      <c r="FS69" s="1018"/>
      <c r="FT69" s="1018"/>
      <c r="FU69" s="1018"/>
      <c r="FV69" s="1018"/>
      <c r="FW69" s="1018"/>
      <c r="FX69" s="1018"/>
      <c r="FY69" s="1018"/>
      <c r="FZ69" s="1018"/>
      <c r="GA69" s="1018"/>
      <c r="GB69" s="1018"/>
      <c r="GC69" s="1018"/>
      <c r="GD69" s="1018"/>
      <c r="GE69" s="1018"/>
      <c r="GF69" s="1018"/>
      <c r="GG69" s="1018"/>
      <c r="GH69" s="1018"/>
      <c r="GI69" s="1018"/>
      <c r="GJ69" s="1018"/>
      <c r="GK69" s="1018"/>
      <c r="GL69" s="1018"/>
      <c r="GM69" s="1018"/>
      <c r="GN69" s="1018"/>
      <c r="GO69" s="1018"/>
      <c r="GP69" s="1018"/>
      <c r="GQ69" s="1018"/>
      <c r="GR69" s="1018"/>
      <c r="GS69" s="1018"/>
      <c r="GT69" s="1018"/>
      <c r="GU69" s="1018"/>
      <c r="GV69" s="1018"/>
      <c r="GW69" s="1018"/>
      <c r="GX69" s="1018"/>
      <c r="GY69" s="1018"/>
      <c r="GZ69" s="1018"/>
      <c r="HA69" s="1018"/>
    </row>
    <row r="70" spans="1:209" s="1019" customFormat="1" ht="40.5" customHeight="1">
      <c r="A70" s="962">
        <v>21</v>
      </c>
      <c r="B70" s="976" t="s">
        <v>1191</v>
      </c>
      <c r="C70" s="977" t="s">
        <v>741</v>
      </c>
      <c r="D70" s="978" t="s">
        <v>99</v>
      </c>
      <c r="E70" s="954">
        <v>1</v>
      </c>
      <c r="F70" s="958" t="s">
        <v>685</v>
      </c>
      <c r="G70" s="978">
        <v>5.98</v>
      </c>
      <c r="H70" s="984">
        <v>17697</v>
      </c>
      <c r="I70" s="955">
        <v>2</v>
      </c>
      <c r="J70" s="973"/>
      <c r="K70" s="958">
        <f t="shared" si="63"/>
        <v>211656.12000000002</v>
      </c>
      <c r="L70" s="973"/>
      <c r="M70" s="973"/>
      <c r="N70" s="973"/>
      <c r="O70" s="973"/>
      <c r="P70" s="973"/>
      <c r="Q70" s="973"/>
      <c r="R70" s="973"/>
      <c r="S70" s="973"/>
      <c r="T70" s="973"/>
      <c r="U70" s="973"/>
      <c r="V70" s="985">
        <v>30</v>
      </c>
      <c r="W70" s="979">
        <f t="shared" si="72"/>
        <v>5309.0999999999995</v>
      </c>
      <c r="X70" s="979"/>
      <c r="Y70" s="958">
        <v>75</v>
      </c>
      <c r="Z70" s="959">
        <f>Y70*350%</f>
        <v>262.5</v>
      </c>
      <c r="AA70" s="959">
        <f t="shared" si="74"/>
        <v>555597.31500000006</v>
      </c>
      <c r="AB70" s="979"/>
      <c r="AC70" s="979"/>
      <c r="AD70" s="958">
        <f t="shared" si="70"/>
        <v>21165.612000000005</v>
      </c>
      <c r="AE70" s="958">
        <f t="shared" si="68"/>
        <v>793728.14700000011</v>
      </c>
      <c r="AF70" s="958">
        <f t="shared" si="64"/>
        <v>9524737.7640000023</v>
      </c>
      <c r="AG70" s="958">
        <f t="shared" si="65"/>
        <v>211656.12000000002</v>
      </c>
      <c r="AH70" s="958">
        <f t="shared" si="69"/>
        <v>9736393.8840000015</v>
      </c>
      <c r="AI70" s="1016"/>
      <c r="AJ70" s="1016"/>
      <c r="AK70" s="1017"/>
      <c r="AL70" s="1017"/>
      <c r="AM70" s="1018"/>
      <c r="AN70" s="1018"/>
      <c r="AO70" s="1018"/>
      <c r="AP70" s="1018"/>
      <c r="AQ70" s="1018"/>
      <c r="AR70" s="1018"/>
      <c r="AS70" s="1018"/>
      <c r="AT70" s="1018"/>
      <c r="AU70" s="1018"/>
      <c r="AV70" s="1018"/>
      <c r="AW70" s="1018"/>
      <c r="AX70" s="1018"/>
      <c r="AY70" s="1018"/>
      <c r="AZ70" s="1018"/>
      <c r="BA70" s="1018"/>
      <c r="BB70" s="1018"/>
      <c r="BC70" s="1018"/>
      <c r="BD70" s="1018"/>
      <c r="BE70" s="1018"/>
      <c r="BF70" s="1018"/>
      <c r="BG70" s="1018"/>
      <c r="BH70" s="1018"/>
      <c r="BI70" s="1018"/>
      <c r="BJ70" s="1018"/>
      <c r="BK70" s="1018"/>
      <c r="BL70" s="1018"/>
      <c r="BM70" s="1018"/>
      <c r="BN70" s="1018"/>
      <c r="BO70" s="1018"/>
      <c r="BP70" s="1018"/>
      <c r="BQ70" s="1018"/>
      <c r="BR70" s="1018"/>
      <c r="BS70" s="1018"/>
      <c r="BT70" s="1018"/>
      <c r="BU70" s="1018"/>
      <c r="BV70" s="1018"/>
      <c r="BW70" s="1018"/>
      <c r="BX70" s="1018"/>
      <c r="BY70" s="1018"/>
      <c r="BZ70" s="1018"/>
      <c r="CA70" s="1018"/>
      <c r="CB70" s="1018"/>
      <c r="CC70" s="1018"/>
      <c r="CD70" s="1018"/>
      <c r="CE70" s="1018"/>
      <c r="CF70" s="1018"/>
      <c r="CG70" s="1018"/>
      <c r="CH70" s="1018"/>
      <c r="CI70" s="1018"/>
      <c r="CJ70" s="1018"/>
      <c r="CK70" s="1018"/>
      <c r="CL70" s="1018"/>
      <c r="CM70" s="1018"/>
      <c r="CN70" s="1018"/>
      <c r="CO70" s="1018"/>
      <c r="CP70" s="1018"/>
      <c r="CQ70" s="1018"/>
      <c r="CR70" s="1018"/>
      <c r="CS70" s="1018"/>
      <c r="CT70" s="1018"/>
      <c r="CU70" s="1018"/>
      <c r="CV70" s="1018"/>
      <c r="CW70" s="1018"/>
      <c r="CX70" s="1018"/>
      <c r="CY70" s="1018"/>
      <c r="CZ70" s="1018"/>
      <c r="DA70" s="1018"/>
      <c r="DB70" s="1018"/>
      <c r="DC70" s="1018"/>
      <c r="DD70" s="1018"/>
      <c r="DE70" s="1018"/>
      <c r="DF70" s="1018"/>
      <c r="DG70" s="1018"/>
      <c r="DH70" s="1018"/>
      <c r="DI70" s="1018"/>
      <c r="DJ70" s="1018"/>
      <c r="DK70" s="1018"/>
      <c r="DL70" s="1018"/>
      <c r="DM70" s="1018"/>
      <c r="DN70" s="1018"/>
      <c r="DO70" s="1018"/>
      <c r="DP70" s="1018"/>
      <c r="DQ70" s="1018"/>
      <c r="DR70" s="1018"/>
      <c r="DS70" s="1018"/>
      <c r="DT70" s="1018"/>
      <c r="DU70" s="1018"/>
      <c r="DV70" s="1018"/>
      <c r="DW70" s="1018"/>
      <c r="DX70" s="1018"/>
      <c r="DY70" s="1018"/>
      <c r="DZ70" s="1018"/>
      <c r="EA70" s="1018"/>
      <c r="EB70" s="1018"/>
      <c r="EC70" s="1018"/>
      <c r="ED70" s="1018"/>
      <c r="EE70" s="1018"/>
      <c r="EF70" s="1018"/>
      <c r="EG70" s="1018"/>
      <c r="EH70" s="1018"/>
      <c r="EI70" s="1018"/>
      <c r="EJ70" s="1018"/>
      <c r="EK70" s="1018"/>
      <c r="EL70" s="1018"/>
      <c r="EM70" s="1018"/>
      <c r="EN70" s="1018"/>
      <c r="EO70" s="1018"/>
      <c r="EP70" s="1018"/>
      <c r="EQ70" s="1018"/>
      <c r="ER70" s="1018"/>
      <c r="ES70" s="1018"/>
      <c r="ET70" s="1018"/>
      <c r="EU70" s="1018"/>
      <c r="EV70" s="1018"/>
      <c r="EW70" s="1018"/>
      <c r="EX70" s="1018"/>
      <c r="EY70" s="1018"/>
      <c r="EZ70" s="1018"/>
      <c r="FA70" s="1018"/>
      <c r="FB70" s="1018"/>
      <c r="FC70" s="1018"/>
      <c r="FD70" s="1018"/>
      <c r="FE70" s="1018"/>
      <c r="FF70" s="1018"/>
      <c r="FG70" s="1018"/>
      <c r="FH70" s="1018"/>
      <c r="FI70" s="1018"/>
      <c r="FJ70" s="1018"/>
      <c r="FK70" s="1018"/>
      <c r="FL70" s="1018"/>
      <c r="FM70" s="1018"/>
      <c r="FN70" s="1018"/>
      <c r="FO70" s="1018"/>
      <c r="FP70" s="1018"/>
      <c r="FQ70" s="1018"/>
      <c r="FR70" s="1018"/>
      <c r="FS70" s="1018"/>
      <c r="FT70" s="1018"/>
      <c r="FU70" s="1018"/>
      <c r="FV70" s="1018"/>
      <c r="FW70" s="1018"/>
      <c r="FX70" s="1018"/>
      <c r="FY70" s="1018"/>
      <c r="FZ70" s="1018"/>
      <c r="GA70" s="1018"/>
      <c r="GB70" s="1018"/>
      <c r="GC70" s="1018"/>
      <c r="GD70" s="1018"/>
      <c r="GE70" s="1018"/>
      <c r="GF70" s="1018"/>
      <c r="GG70" s="1018"/>
      <c r="GH70" s="1018"/>
      <c r="GI70" s="1018"/>
      <c r="GJ70" s="1018"/>
      <c r="GK70" s="1018"/>
      <c r="GL70" s="1018"/>
      <c r="GM70" s="1018"/>
      <c r="GN70" s="1018"/>
      <c r="GO70" s="1018"/>
      <c r="GP70" s="1018"/>
      <c r="GQ70" s="1018"/>
      <c r="GR70" s="1018"/>
      <c r="GS70" s="1018"/>
      <c r="GT70" s="1018"/>
      <c r="GU70" s="1018"/>
      <c r="GV70" s="1018"/>
      <c r="GW70" s="1018"/>
      <c r="GX70" s="1018"/>
      <c r="GY70" s="1018"/>
      <c r="GZ70" s="1018"/>
      <c r="HA70" s="1018"/>
    </row>
    <row r="71" spans="1:209" s="1019" customFormat="1" ht="38.25" customHeight="1">
      <c r="A71" s="962">
        <v>22</v>
      </c>
      <c r="B71" s="976" t="s">
        <v>1192</v>
      </c>
      <c r="C71" s="977" t="s">
        <v>742</v>
      </c>
      <c r="D71" s="986" t="s">
        <v>91</v>
      </c>
      <c r="E71" s="950">
        <v>1</v>
      </c>
      <c r="F71" s="958" t="s">
        <v>76</v>
      </c>
      <c r="G71" s="978">
        <v>4.9400000000000004</v>
      </c>
      <c r="H71" s="984">
        <v>17697</v>
      </c>
      <c r="I71" s="955">
        <v>2</v>
      </c>
      <c r="J71" s="973"/>
      <c r="K71" s="958">
        <f t="shared" si="63"/>
        <v>174846.36000000002</v>
      </c>
      <c r="L71" s="973"/>
      <c r="M71" s="973"/>
      <c r="N71" s="973"/>
      <c r="O71" s="973"/>
      <c r="P71" s="973"/>
      <c r="Q71" s="973"/>
      <c r="R71" s="973"/>
      <c r="S71" s="973"/>
      <c r="T71" s="973"/>
      <c r="U71" s="973"/>
      <c r="V71" s="985">
        <v>30</v>
      </c>
      <c r="W71" s="985">
        <f>V71%*H71</f>
        <v>5309.0999999999995</v>
      </c>
      <c r="X71" s="979"/>
      <c r="Y71" s="979"/>
      <c r="Z71" s="979"/>
      <c r="AA71" s="979"/>
      <c r="AB71" s="1288"/>
      <c r="AC71" s="1288">
        <f>K71*AB71%</f>
        <v>0</v>
      </c>
      <c r="AD71" s="958">
        <f t="shared" si="70"/>
        <v>17484.636000000002</v>
      </c>
      <c r="AE71" s="958">
        <f t="shared" si="68"/>
        <v>197640.09600000002</v>
      </c>
      <c r="AF71" s="958">
        <f t="shared" si="64"/>
        <v>2371681.1520000002</v>
      </c>
      <c r="AG71" s="958">
        <f t="shared" si="65"/>
        <v>174846.36000000002</v>
      </c>
      <c r="AH71" s="958">
        <f t="shared" si="69"/>
        <v>2546527.5120000001</v>
      </c>
      <c r="AI71" s="1016"/>
      <c r="AJ71" s="1016"/>
      <c r="AK71" s="1017"/>
      <c r="AL71" s="1017"/>
      <c r="AM71" s="1018"/>
      <c r="AN71" s="1018"/>
      <c r="AO71" s="1018"/>
      <c r="AP71" s="1018"/>
      <c r="AQ71" s="1018"/>
      <c r="AR71" s="1018"/>
      <c r="AS71" s="1018"/>
      <c r="AT71" s="1018"/>
      <c r="AU71" s="1018"/>
      <c r="AV71" s="1018"/>
      <c r="AW71" s="1018"/>
      <c r="AX71" s="1018"/>
      <c r="AY71" s="1018"/>
      <c r="AZ71" s="1018"/>
      <c r="BA71" s="1018"/>
      <c r="BB71" s="1018"/>
      <c r="BC71" s="1018"/>
      <c r="BD71" s="1018"/>
      <c r="BE71" s="1018"/>
      <c r="BF71" s="1018"/>
      <c r="BG71" s="1018"/>
      <c r="BH71" s="1018"/>
      <c r="BI71" s="1018"/>
      <c r="BJ71" s="1018"/>
      <c r="BK71" s="1018"/>
      <c r="BL71" s="1018"/>
      <c r="BM71" s="1018"/>
      <c r="BN71" s="1018"/>
      <c r="BO71" s="1018"/>
      <c r="BP71" s="1018"/>
      <c r="BQ71" s="1018"/>
      <c r="BR71" s="1018"/>
      <c r="BS71" s="1018"/>
      <c r="BT71" s="1018"/>
      <c r="BU71" s="1018"/>
      <c r="BV71" s="1018"/>
      <c r="BW71" s="1018"/>
      <c r="BX71" s="1018"/>
      <c r="BY71" s="1018"/>
      <c r="BZ71" s="1018"/>
      <c r="CA71" s="1018"/>
      <c r="CB71" s="1018"/>
      <c r="CC71" s="1018"/>
      <c r="CD71" s="1018"/>
      <c r="CE71" s="1018"/>
      <c r="CF71" s="1018"/>
      <c r="CG71" s="1018"/>
      <c r="CH71" s="1018"/>
      <c r="CI71" s="1018"/>
      <c r="CJ71" s="1018"/>
      <c r="CK71" s="1018"/>
      <c r="CL71" s="1018"/>
      <c r="CM71" s="1018"/>
      <c r="CN71" s="1018"/>
      <c r="CO71" s="1018"/>
      <c r="CP71" s="1018"/>
      <c r="CQ71" s="1018"/>
      <c r="CR71" s="1018"/>
      <c r="CS71" s="1018"/>
      <c r="CT71" s="1018"/>
      <c r="CU71" s="1018"/>
      <c r="CV71" s="1018"/>
      <c r="CW71" s="1018"/>
      <c r="CX71" s="1018"/>
      <c r="CY71" s="1018"/>
      <c r="CZ71" s="1018"/>
      <c r="DA71" s="1018"/>
      <c r="DB71" s="1018"/>
      <c r="DC71" s="1018"/>
      <c r="DD71" s="1018"/>
      <c r="DE71" s="1018"/>
      <c r="DF71" s="1018"/>
      <c r="DG71" s="1018"/>
      <c r="DH71" s="1018"/>
      <c r="DI71" s="1018"/>
      <c r="DJ71" s="1018"/>
      <c r="DK71" s="1018"/>
      <c r="DL71" s="1018"/>
      <c r="DM71" s="1018"/>
      <c r="DN71" s="1018"/>
      <c r="DO71" s="1018"/>
      <c r="DP71" s="1018"/>
      <c r="DQ71" s="1018"/>
      <c r="DR71" s="1018"/>
      <c r="DS71" s="1018"/>
      <c r="DT71" s="1018"/>
      <c r="DU71" s="1018"/>
      <c r="DV71" s="1018"/>
      <c r="DW71" s="1018"/>
      <c r="DX71" s="1018"/>
      <c r="DY71" s="1018"/>
      <c r="DZ71" s="1018"/>
      <c r="EA71" s="1018"/>
      <c r="EB71" s="1018"/>
      <c r="EC71" s="1018"/>
      <c r="ED71" s="1018"/>
      <c r="EE71" s="1018"/>
      <c r="EF71" s="1018"/>
      <c r="EG71" s="1018"/>
      <c r="EH71" s="1018"/>
      <c r="EI71" s="1018"/>
      <c r="EJ71" s="1018"/>
      <c r="EK71" s="1018"/>
      <c r="EL71" s="1018"/>
      <c r="EM71" s="1018"/>
      <c r="EN71" s="1018"/>
      <c r="EO71" s="1018"/>
      <c r="EP71" s="1018"/>
      <c r="EQ71" s="1018"/>
      <c r="ER71" s="1018"/>
      <c r="ES71" s="1018"/>
      <c r="ET71" s="1018"/>
      <c r="EU71" s="1018"/>
      <c r="EV71" s="1018"/>
      <c r="EW71" s="1018"/>
      <c r="EX71" s="1018"/>
      <c r="EY71" s="1018"/>
      <c r="EZ71" s="1018"/>
      <c r="FA71" s="1018"/>
      <c r="FB71" s="1018"/>
      <c r="FC71" s="1018"/>
      <c r="FD71" s="1018"/>
      <c r="FE71" s="1018"/>
      <c r="FF71" s="1018"/>
      <c r="FG71" s="1018"/>
      <c r="FH71" s="1018"/>
      <c r="FI71" s="1018"/>
      <c r="FJ71" s="1018"/>
      <c r="FK71" s="1018"/>
      <c r="FL71" s="1018"/>
      <c r="FM71" s="1018"/>
      <c r="FN71" s="1018"/>
      <c r="FO71" s="1018"/>
      <c r="FP71" s="1018"/>
      <c r="FQ71" s="1018"/>
      <c r="FR71" s="1018"/>
      <c r="FS71" s="1018"/>
      <c r="FT71" s="1018"/>
      <c r="FU71" s="1018"/>
      <c r="FV71" s="1018"/>
      <c r="FW71" s="1018"/>
      <c r="FX71" s="1018"/>
      <c r="FY71" s="1018"/>
      <c r="FZ71" s="1018"/>
      <c r="GA71" s="1018"/>
      <c r="GB71" s="1018"/>
      <c r="GC71" s="1018"/>
      <c r="GD71" s="1018"/>
      <c r="GE71" s="1018"/>
      <c r="GF71" s="1018"/>
      <c r="GG71" s="1018"/>
      <c r="GH71" s="1018"/>
      <c r="GI71" s="1018"/>
      <c r="GJ71" s="1018"/>
      <c r="GK71" s="1018"/>
      <c r="GL71" s="1018"/>
      <c r="GM71" s="1018"/>
      <c r="GN71" s="1018"/>
      <c r="GO71" s="1018"/>
      <c r="GP71" s="1018"/>
      <c r="GQ71" s="1018"/>
      <c r="GR71" s="1018"/>
      <c r="GS71" s="1018"/>
      <c r="GT71" s="1018"/>
      <c r="GU71" s="1018"/>
      <c r="GV71" s="1018"/>
      <c r="GW71" s="1018"/>
      <c r="GX71" s="1018"/>
      <c r="GY71" s="1018"/>
      <c r="GZ71" s="1018"/>
      <c r="HA71" s="1018"/>
    </row>
    <row r="72" spans="1:209" s="1019" customFormat="1" ht="39" customHeight="1">
      <c r="A72" s="962">
        <v>23</v>
      </c>
      <c r="B72" s="976" t="s">
        <v>1193</v>
      </c>
      <c r="C72" s="977" t="s">
        <v>743</v>
      </c>
      <c r="D72" s="986" t="s">
        <v>91</v>
      </c>
      <c r="E72" s="950">
        <v>0.5</v>
      </c>
      <c r="F72" s="958" t="s">
        <v>705</v>
      </c>
      <c r="G72" s="978">
        <v>4.8</v>
      </c>
      <c r="H72" s="984">
        <v>17697</v>
      </c>
      <c r="I72" s="955">
        <v>2</v>
      </c>
      <c r="J72" s="973"/>
      <c r="K72" s="958">
        <f t="shared" si="63"/>
        <v>84945.599999999991</v>
      </c>
      <c r="L72" s="973"/>
      <c r="M72" s="973"/>
      <c r="N72" s="973"/>
      <c r="O72" s="973"/>
      <c r="P72" s="973"/>
      <c r="Q72" s="973"/>
      <c r="R72" s="973"/>
      <c r="S72" s="973"/>
      <c r="T72" s="973"/>
      <c r="U72" s="973"/>
      <c r="V72" s="985">
        <v>30</v>
      </c>
      <c r="W72" s="985">
        <f>V72%*H72</f>
        <v>5309.0999999999995</v>
      </c>
      <c r="X72" s="979"/>
      <c r="Y72" s="979"/>
      <c r="Z72" s="979"/>
      <c r="AA72" s="979"/>
      <c r="AB72" s="1288"/>
      <c r="AC72" s="1288">
        <f>K72*AB72%</f>
        <v>0</v>
      </c>
      <c r="AD72" s="958">
        <f t="shared" si="70"/>
        <v>8494.56</v>
      </c>
      <c r="AE72" s="958">
        <f t="shared" si="68"/>
        <v>98749.26</v>
      </c>
      <c r="AF72" s="958">
        <f t="shared" si="64"/>
        <v>1184991.1199999999</v>
      </c>
      <c r="AG72" s="958">
        <f t="shared" si="65"/>
        <v>84945.599999999991</v>
      </c>
      <c r="AH72" s="958">
        <f t="shared" si="69"/>
        <v>1269936.72</v>
      </c>
      <c r="AI72" s="1016"/>
      <c r="AJ72" s="1016"/>
      <c r="AK72" s="1017"/>
      <c r="AL72" s="1017"/>
      <c r="AM72" s="1018"/>
      <c r="AN72" s="1018"/>
      <c r="AO72" s="1018"/>
      <c r="AP72" s="1018"/>
      <c r="AQ72" s="1018"/>
      <c r="AR72" s="1018"/>
      <c r="AS72" s="1018"/>
      <c r="AT72" s="1018"/>
      <c r="AU72" s="1018"/>
      <c r="AV72" s="1018"/>
      <c r="AW72" s="1018"/>
      <c r="AX72" s="1018"/>
      <c r="AY72" s="1018"/>
      <c r="AZ72" s="1018"/>
      <c r="BA72" s="1018"/>
      <c r="BB72" s="1018"/>
      <c r="BC72" s="1018"/>
      <c r="BD72" s="1018"/>
      <c r="BE72" s="1018"/>
      <c r="BF72" s="1018"/>
      <c r="BG72" s="1018"/>
      <c r="BH72" s="1018"/>
      <c r="BI72" s="1018"/>
      <c r="BJ72" s="1018"/>
      <c r="BK72" s="1018"/>
      <c r="BL72" s="1018"/>
      <c r="BM72" s="1018"/>
      <c r="BN72" s="1018"/>
      <c r="BO72" s="1018"/>
      <c r="BP72" s="1018"/>
      <c r="BQ72" s="1018"/>
      <c r="BR72" s="1018"/>
      <c r="BS72" s="1018"/>
      <c r="BT72" s="1018"/>
      <c r="BU72" s="1018"/>
      <c r="BV72" s="1018"/>
      <c r="BW72" s="1018"/>
      <c r="BX72" s="1018"/>
      <c r="BY72" s="1018"/>
      <c r="BZ72" s="1018"/>
      <c r="CA72" s="1018"/>
      <c r="CB72" s="1018"/>
      <c r="CC72" s="1018"/>
      <c r="CD72" s="1018"/>
      <c r="CE72" s="1018"/>
      <c r="CF72" s="1018"/>
      <c r="CG72" s="1018"/>
      <c r="CH72" s="1018"/>
      <c r="CI72" s="1018"/>
      <c r="CJ72" s="1018"/>
      <c r="CK72" s="1018"/>
      <c r="CL72" s="1018"/>
      <c r="CM72" s="1018"/>
      <c r="CN72" s="1018"/>
      <c r="CO72" s="1018"/>
      <c r="CP72" s="1018"/>
      <c r="CQ72" s="1018"/>
      <c r="CR72" s="1018"/>
      <c r="CS72" s="1018"/>
      <c r="CT72" s="1018"/>
      <c r="CU72" s="1018"/>
      <c r="CV72" s="1018"/>
      <c r="CW72" s="1018"/>
      <c r="CX72" s="1018"/>
      <c r="CY72" s="1018"/>
      <c r="CZ72" s="1018"/>
      <c r="DA72" s="1018"/>
      <c r="DB72" s="1018"/>
      <c r="DC72" s="1018"/>
      <c r="DD72" s="1018"/>
      <c r="DE72" s="1018"/>
      <c r="DF72" s="1018"/>
      <c r="DG72" s="1018"/>
      <c r="DH72" s="1018"/>
      <c r="DI72" s="1018"/>
      <c r="DJ72" s="1018"/>
      <c r="DK72" s="1018"/>
      <c r="DL72" s="1018"/>
      <c r="DM72" s="1018"/>
      <c r="DN72" s="1018"/>
      <c r="DO72" s="1018"/>
      <c r="DP72" s="1018"/>
      <c r="DQ72" s="1018"/>
      <c r="DR72" s="1018"/>
      <c r="DS72" s="1018"/>
      <c r="DT72" s="1018"/>
      <c r="DU72" s="1018"/>
      <c r="DV72" s="1018"/>
      <c r="DW72" s="1018"/>
      <c r="DX72" s="1018"/>
      <c r="DY72" s="1018"/>
      <c r="DZ72" s="1018"/>
      <c r="EA72" s="1018"/>
      <c r="EB72" s="1018"/>
      <c r="EC72" s="1018"/>
      <c r="ED72" s="1018"/>
      <c r="EE72" s="1018"/>
      <c r="EF72" s="1018"/>
      <c r="EG72" s="1018"/>
      <c r="EH72" s="1018"/>
      <c r="EI72" s="1018"/>
      <c r="EJ72" s="1018"/>
      <c r="EK72" s="1018"/>
      <c r="EL72" s="1018"/>
      <c r="EM72" s="1018"/>
      <c r="EN72" s="1018"/>
      <c r="EO72" s="1018"/>
      <c r="EP72" s="1018"/>
      <c r="EQ72" s="1018"/>
      <c r="ER72" s="1018"/>
      <c r="ES72" s="1018"/>
      <c r="ET72" s="1018"/>
      <c r="EU72" s="1018"/>
      <c r="EV72" s="1018"/>
      <c r="EW72" s="1018"/>
      <c r="EX72" s="1018"/>
      <c r="EY72" s="1018"/>
      <c r="EZ72" s="1018"/>
      <c r="FA72" s="1018"/>
      <c r="FB72" s="1018"/>
      <c r="FC72" s="1018"/>
      <c r="FD72" s="1018"/>
      <c r="FE72" s="1018"/>
      <c r="FF72" s="1018"/>
      <c r="FG72" s="1018"/>
      <c r="FH72" s="1018"/>
      <c r="FI72" s="1018"/>
      <c r="FJ72" s="1018"/>
      <c r="FK72" s="1018"/>
      <c r="FL72" s="1018"/>
      <c r="FM72" s="1018"/>
      <c r="FN72" s="1018"/>
      <c r="FO72" s="1018"/>
      <c r="FP72" s="1018"/>
      <c r="FQ72" s="1018"/>
      <c r="FR72" s="1018"/>
      <c r="FS72" s="1018"/>
      <c r="FT72" s="1018"/>
      <c r="FU72" s="1018"/>
      <c r="FV72" s="1018"/>
      <c r="FW72" s="1018"/>
      <c r="FX72" s="1018"/>
      <c r="FY72" s="1018"/>
      <c r="FZ72" s="1018"/>
      <c r="GA72" s="1018"/>
      <c r="GB72" s="1018"/>
      <c r="GC72" s="1018"/>
      <c r="GD72" s="1018"/>
      <c r="GE72" s="1018"/>
      <c r="GF72" s="1018"/>
      <c r="GG72" s="1018"/>
      <c r="GH72" s="1018"/>
      <c r="GI72" s="1018"/>
      <c r="GJ72" s="1018"/>
      <c r="GK72" s="1018"/>
      <c r="GL72" s="1018"/>
      <c r="GM72" s="1018"/>
      <c r="GN72" s="1018"/>
      <c r="GO72" s="1018"/>
      <c r="GP72" s="1018"/>
      <c r="GQ72" s="1018"/>
      <c r="GR72" s="1018"/>
      <c r="GS72" s="1018"/>
      <c r="GT72" s="1018"/>
      <c r="GU72" s="1018"/>
      <c r="GV72" s="1018"/>
      <c r="GW72" s="1018"/>
      <c r="GX72" s="1018"/>
      <c r="GY72" s="1018"/>
      <c r="GZ72" s="1018"/>
      <c r="HA72" s="1018"/>
    </row>
    <row r="73" spans="1:209" s="1019" customFormat="1" ht="40.5" customHeight="1">
      <c r="A73" s="962">
        <v>24</v>
      </c>
      <c r="B73" s="976" t="s">
        <v>1193</v>
      </c>
      <c r="C73" s="977" t="s">
        <v>744</v>
      </c>
      <c r="D73" s="986" t="s">
        <v>91</v>
      </c>
      <c r="E73" s="950">
        <v>0.5</v>
      </c>
      <c r="F73" s="958" t="s">
        <v>707</v>
      </c>
      <c r="G73" s="978">
        <v>4.87</v>
      </c>
      <c r="H73" s="984">
        <v>17697</v>
      </c>
      <c r="I73" s="955">
        <v>2</v>
      </c>
      <c r="J73" s="973"/>
      <c r="K73" s="958">
        <f t="shared" si="63"/>
        <v>86184.39</v>
      </c>
      <c r="L73" s="973"/>
      <c r="M73" s="973"/>
      <c r="N73" s="973"/>
      <c r="O73" s="973"/>
      <c r="P73" s="973"/>
      <c r="Q73" s="973"/>
      <c r="R73" s="973"/>
      <c r="S73" s="973"/>
      <c r="T73" s="973"/>
      <c r="U73" s="973"/>
      <c r="V73" s="985">
        <v>30</v>
      </c>
      <c r="W73" s="985">
        <f t="shared" ref="W73:W74" si="75">V73%*H73</f>
        <v>5309.0999999999995</v>
      </c>
      <c r="X73" s="979"/>
      <c r="Y73" s="979"/>
      <c r="Z73" s="979"/>
      <c r="AA73" s="979"/>
      <c r="AB73" s="1288"/>
      <c r="AC73" s="1288">
        <f>K73*AB73%</f>
        <v>0</v>
      </c>
      <c r="AD73" s="958">
        <f t="shared" si="70"/>
        <v>8618.4390000000003</v>
      </c>
      <c r="AE73" s="958">
        <f t="shared" si="68"/>
        <v>100111.929</v>
      </c>
      <c r="AF73" s="958">
        <f t="shared" si="64"/>
        <v>1201343.148</v>
      </c>
      <c r="AG73" s="958">
        <f t="shared" si="65"/>
        <v>86184.39</v>
      </c>
      <c r="AH73" s="958">
        <f t="shared" si="69"/>
        <v>1287527.5379999999</v>
      </c>
      <c r="AI73" s="1016"/>
      <c r="AJ73" s="1016"/>
      <c r="AK73" s="1017"/>
      <c r="AL73" s="1017"/>
      <c r="AM73" s="1018"/>
      <c r="AN73" s="1018"/>
      <c r="AO73" s="1018"/>
      <c r="AP73" s="1018"/>
      <c r="AQ73" s="1018"/>
      <c r="AR73" s="1018"/>
      <c r="AS73" s="1018"/>
      <c r="AT73" s="1018"/>
      <c r="AU73" s="1018"/>
      <c r="AV73" s="1018"/>
      <c r="AW73" s="1018"/>
      <c r="AX73" s="1018"/>
      <c r="AY73" s="1018"/>
      <c r="AZ73" s="1018"/>
      <c r="BA73" s="1018"/>
      <c r="BB73" s="1018"/>
      <c r="BC73" s="1018"/>
      <c r="BD73" s="1018"/>
      <c r="BE73" s="1018"/>
      <c r="BF73" s="1018"/>
      <c r="BG73" s="1018"/>
      <c r="BH73" s="1018"/>
      <c r="BI73" s="1018"/>
      <c r="BJ73" s="1018"/>
      <c r="BK73" s="1018"/>
      <c r="BL73" s="1018"/>
      <c r="BM73" s="1018"/>
      <c r="BN73" s="1018"/>
      <c r="BO73" s="1018"/>
      <c r="BP73" s="1018"/>
      <c r="BQ73" s="1018"/>
      <c r="BR73" s="1018"/>
      <c r="BS73" s="1018"/>
      <c r="BT73" s="1018"/>
      <c r="BU73" s="1018"/>
      <c r="BV73" s="1018"/>
      <c r="BW73" s="1018"/>
      <c r="BX73" s="1018"/>
      <c r="BY73" s="1018"/>
      <c r="BZ73" s="1018"/>
      <c r="CA73" s="1018"/>
      <c r="CB73" s="1018"/>
      <c r="CC73" s="1018"/>
      <c r="CD73" s="1018"/>
      <c r="CE73" s="1018"/>
      <c r="CF73" s="1018"/>
      <c r="CG73" s="1018"/>
      <c r="CH73" s="1018"/>
      <c r="CI73" s="1018"/>
      <c r="CJ73" s="1018"/>
      <c r="CK73" s="1018"/>
      <c r="CL73" s="1018"/>
      <c r="CM73" s="1018"/>
      <c r="CN73" s="1018"/>
      <c r="CO73" s="1018"/>
      <c r="CP73" s="1018"/>
      <c r="CQ73" s="1018"/>
      <c r="CR73" s="1018"/>
      <c r="CS73" s="1018"/>
      <c r="CT73" s="1018"/>
      <c r="CU73" s="1018"/>
      <c r="CV73" s="1018"/>
      <c r="CW73" s="1018"/>
      <c r="CX73" s="1018"/>
      <c r="CY73" s="1018"/>
      <c r="CZ73" s="1018"/>
      <c r="DA73" s="1018"/>
      <c r="DB73" s="1018"/>
      <c r="DC73" s="1018"/>
      <c r="DD73" s="1018"/>
      <c r="DE73" s="1018"/>
      <c r="DF73" s="1018"/>
      <c r="DG73" s="1018"/>
      <c r="DH73" s="1018"/>
      <c r="DI73" s="1018"/>
      <c r="DJ73" s="1018"/>
      <c r="DK73" s="1018"/>
      <c r="DL73" s="1018"/>
      <c r="DM73" s="1018"/>
      <c r="DN73" s="1018"/>
      <c r="DO73" s="1018"/>
      <c r="DP73" s="1018"/>
      <c r="DQ73" s="1018"/>
      <c r="DR73" s="1018"/>
      <c r="DS73" s="1018"/>
      <c r="DT73" s="1018"/>
      <c r="DU73" s="1018"/>
      <c r="DV73" s="1018"/>
      <c r="DW73" s="1018"/>
      <c r="DX73" s="1018"/>
      <c r="DY73" s="1018"/>
      <c r="DZ73" s="1018"/>
      <c r="EA73" s="1018"/>
      <c r="EB73" s="1018"/>
      <c r="EC73" s="1018"/>
      <c r="ED73" s="1018"/>
      <c r="EE73" s="1018"/>
      <c r="EF73" s="1018"/>
      <c r="EG73" s="1018"/>
      <c r="EH73" s="1018"/>
      <c r="EI73" s="1018"/>
      <c r="EJ73" s="1018"/>
      <c r="EK73" s="1018"/>
      <c r="EL73" s="1018"/>
      <c r="EM73" s="1018"/>
      <c r="EN73" s="1018"/>
      <c r="EO73" s="1018"/>
      <c r="EP73" s="1018"/>
      <c r="EQ73" s="1018"/>
      <c r="ER73" s="1018"/>
      <c r="ES73" s="1018"/>
      <c r="ET73" s="1018"/>
      <c r="EU73" s="1018"/>
      <c r="EV73" s="1018"/>
      <c r="EW73" s="1018"/>
      <c r="EX73" s="1018"/>
      <c r="EY73" s="1018"/>
      <c r="EZ73" s="1018"/>
      <c r="FA73" s="1018"/>
      <c r="FB73" s="1018"/>
      <c r="FC73" s="1018"/>
      <c r="FD73" s="1018"/>
      <c r="FE73" s="1018"/>
      <c r="FF73" s="1018"/>
      <c r="FG73" s="1018"/>
      <c r="FH73" s="1018"/>
      <c r="FI73" s="1018"/>
      <c r="FJ73" s="1018"/>
      <c r="FK73" s="1018"/>
      <c r="FL73" s="1018"/>
      <c r="FM73" s="1018"/>
      <c r="FN73" s="1018"/>
      <c r="FO73" s="1018"/>
      <c r="FP73" s="1018"/>
      <c r="FQ73" s="1018"/>
      <c r="FR73" s="1018"/>
      <c r="FS73" s="1018"/>
      <c r="FT73" s="1018"/>
      <c r="FU73" s="1018"/>
      <c r="FV73" s="1018"/>
      <c r="FW73" s="1018"/>
      <c r="FX73" s="1018"/>
      <c r="FY73" s="1018"/>
      <c r="FZ73" s="1018"/>
      <c r="GA73" s="1018"/>
      <c r="GB73" s="1018"/>
      <c r="GC73" s="1018"/>
      <c r="GD73" s="1018"/>
      <c r="GE73" s="1018"/>
      <c r="GF73" s="1018"/>
      <c r="GG73" s="1018"/>
      <c r="GH73" s="1018"/>
      <c r="GI73" s="1018"/>
      <c r="GJ73" s="1018"/>
      <c r="GK73" s="1018"/>
      <c r="GL73" s="1018"/>
      <c r="GM73" s="1018"/>
      <c r="GN73" s="1018"/>
      <c r="GO73" s="1018"/>
      <c r="GP73" s="1018"/>
      <c r="GQ73" s="1018"/>
      <c r="GR73" s="1018"/>
      <c r="GS73" s="1018"/>
      <c r="GT73" s="1018"/>
      <c r="GU73" s="1018"/>
      <c r="GV73" s="1018"/>
      <c r="GW73" s="1018"/>
      <c r="GX73" s="1018"/>
      <c r="GY73" s="1018"/>
      <c r="GZ73" s="1018"/>
      <c r="HA73" s="1018"/>
    </row>
    <row r="74" spans="1:209" s="1019" customFormat="1" ht="44.25" customHeight="1">
      <c r="A74" s="962">
        <v>25</v>
      </c>
      <c r="B74" s="976" t="s">
        <v>1192</v>
      </c>
      <c r="C74" s="977" t="s">
        <v>745</v>
      </c>
      <c r="D74" s="986" t="s">
        <v>91</v>
      </c>
      <c r="E74" s="950">
        <v>0.5</v>
      </c>
      <c r="F74" s="958" t="s">
        <v>80</v>
      </c>
      <c r="G74" s="978">
        <v>5.0199999999999996</v>
      </c>
      <c r="H74" s="984">
        <v>17697</v>
      </c>
      <c r="I74" s="955">
        <v>2</v>
      </c>
      <c r="J74" s="973"/>
      <c r="K74" s="958">
        <f t="shared" si="63"/>
        <v>88838.939999999988</v>
      </c>
      <c r="L74" s="973"/>
      <c r="M74" s="973"/>
      <c r="N74" s="973"/>
      <c r="O74" s="973"/>
      <c r="P74" s="973"/>
      <c r="Q74" s="973"/>
      <c r="R74" s="973"/>
      <c r="S74" s="973"/>
      <c r="T74" s="973"/>
      <c r="U74" s="973"/>
      <c r="V74" s="985">
        <v>30</v>
      </c>
      <c r="W74" s="985">
        <f t="shared" si="75"/>
        <v>5309.0999999999995</v>
      </c>
      <c r="X74" s="979"/>
      <c r="Y74" s="979"/>
      <c r="Z74" s="979"/>
      <c r="AA74" s="979"/>
      <c r="AB74" s="979">
        <v>90</v>
      </c>
      <c r="AC74" s="979">
        <f>K74*AB74%</f>
        <v>79955.045999999988</v>
      </c>
      <c r="AD74" s="958">
        <f t="shared" si="70"/>
        <v>8883.8939999999984</v>
      </c>
      <c r="AE74" s="958">
        <f t="shared" si="68"/>
        <v>182986.97999999998</v>
      </c>
      <c r="AF74" s="958">
        <f t="shared" si="64"/>
        <v>2195843.7599999998</v>
      </c>
      <c r="AG74" s="958">
        <f t="shared" si="65"/>
        <v>88838.939999999988</v>
      </c>
      <c r="AH74" s="958">
        <f t="shared" si="69"/>
        <v>2284682.6999999997</v>
      </c>
      <c r="AI74" s="1016"/>
      <c r="AJ74" s="1016"/>
      <c r="AK74" s="1017"/>
      <c r="AL74" s="1017"/>
      <c r="AM74" s="1018"/>
      <c r="AN74" s="1018"/>
      <c r="AO74" s="1018"/>
      <c r="AP74" s="1018"/>
      <c r="AQ74" s="1018"/>
      <c r="AR74" s="1018"/>
      <c r="AS74" s="1018"/>
      <c r="AT74" s="1018"/>
      <c r="AU74" s="1018"/>
      <c r="AV74" s="1018"/>
      <c r="AW74" s="1018"/>
      <c r="AX74" s="1018"/>
      <c r="AY74" s="1018"/>
      <c r="AZ74" s="1018"/>
      <c r="BA74" s="1018"/>
      <c r="BB74" s="1018"/>
      <c r="BC74" s="1018"/>
      <c r="BD74" s="1018"/>
      <c r="BE74" s="1018"/>
      <c r="BF74" s="1018"/>
      <c r="BG74" s="1018"/>
      <c r="BH74" s="1018"/>
      <c r="BI74" s="1018"/>
      <c r="BJ74" s="1018"/>
      <c r="BK74" s="1018"/>
      <c r="BL74" s="1018"/>
      <c r="BM74" s="1018"/>
      <c r="BN74" s="1018"/>
      <c r="BO74" s="1018"/>
      <c r="BP74" s="1018"/>
      <c r="BQ74" s="1018"/>
      <c r="BR74" s="1018"/>
      <c r="BS74" s="1018"/>
      <c r="BT74" s="1018"/>
      <c r="BU74" s="1018"/>
      <c r="BV74" s="1018"/>
      <c r="BW74" s="1018"/>
      <c r="BX74" s="1018"/>
      <c r="BY74" s="1018"/>
      <c r="BZ74" s="1018"/>
      <c r="CA74" s="1018"/>
      <c r="CB74" s="1018"/>
      <c r="CC74" s="1018"/>
      <c r="CD74" s="1018"/>
      <c r="CE74" s="1018"/>
      <c r="CF74" s="1018"/>
      <c r="CG74" s="1018"/>
      <c r="CH74" s="1018"/>
      <c r="CI74" s="1018"/>
      <c r="CJ74" s="1018"/>
      <c r="CK74" s="1018"/>
      <c r="CL74" s="1018"/>
      <c r="CM74" s="1018"/>
      <c r="CN74" s="1018"/>
      <c r="CO74" s="1018"/>
      <c r="CP74" s="1018"/>
      <c r="CQ74" s="1018"/>
      <c r="CR74" s="1018"/>
      <c r="CS74" s="1018"/>
      <c r="CT74" s="1018"/>
      <c r="CU74" s="1018"/>
      <c r="CV74" s="1018"/>
      <c r="CW74" s="1018"/>
      <c r="CX74" s="1018"/>
      <c r="CY74" s="1018"/>
      <c r="CZ74" s="1018"/>
      <c r="DA74" s="1018"/>
      <c r="DB74" s="1018"/>
      <c r="DC74" s="1018"/>
      <c r="DD74" s="1018"/>
      <c r="DE74" s="1018"/>
      <c r="DF74" s="1018"/>
      <c r="DG74" s="1018"/>
      <c r="DH74" s="1018"/>
      <c r="DI74" s="1018"/>
      <c r="DJ74" s="1018"/>
      <c r="DK74" s="1018"/>
      <c r="DL74" s="1018"/>
      <c r="DM74" s="1018"/>
      <c r="DN74" s="1018"/>
      <c r="DO74" s="1018"/>
      <c r="DP74" s="1018"/>
      <c r="DQ74" s="1018"/>
      <c r="DR74" s="1018"/>
      <c r="DS74" s="1018"/>
      <c r="DT74" s="1018"/>
      <c r="DU74" s="1018"/>
      <c r="DV74" s="1018"/>
      <c r="DW74" s="1018"/>
      <c r="DX74" s="1018"/>
      <c r="DY74" s="1018"/>
      <c r="DZ74" s="1018"/>
      <c r="EA74" s="1018"/>
      <c r="EB74" s="1018"/>
      <c r="EC74" s="1018"/>
      <c r="ED74" s="1018"/>
      <c r="EE74" s="1018"/>
      <c r="EF74" s="1018"/>
      <c r="EG74" s="1018"/>
      <c r="EH74" s="1018"/>
      <c r="EI74" s="1018"/>
      <c r="EJ74" s="1018"/>
      <c r="EK74" s="1018"/>
      <c r="EL74" s="1018"/>
      <c r="EM74" s="1018"/>
      <c r="EN74" s="1018"/>
      <c r="EO74" s="1018"/>
      <c r="EP74" s="1018"/>
      <c r="EQ74" s="1018"/>
      <c r="ER74" s="1018"/>
      <c r="ES74" s="1018"/>
      <c r="ET74" s="1018"/>
      <c r="EU74" s="1018"/>
      <c r="EV74" s="1018"/>
      <c r="EW74" s="1018"/>
      <c r="EX74" s="1018"/>
      <c r="EY74" s="1018"/>
      <c r="EZ74" s="1018"/>
      <c r="FA74" s="1018"/>
      <c r="FB74" s="1018"/>
      <c r="FC74" s="1018"/>
      <c r="FD74" s="1018"/>
      <c r="FE74" s="1018"/>
      <c r="FF74" s="1018"/>
      <c r="FG74" s="1018"/>
      <c r="FH74" s="1018"/>
      <c r="FI74" s="1018"/>
      <c r="FJ74" s="1018"/>
      <c r="FK74" s="1018"/>
      <c r="FL74" s="1018"/>
      <c r="FM74" s="1018"/>
      <c r="FN74" s="1018"/>
      <c r="FO74" s="1018"/>
      <c r="FP74" s="1018"/>
      <c r="FQ74" s="1018"/>
      <c r="FR74" s="1018"/>
      <c r="FS74" s="1018"/>
      <c r="FT74" s="1018"/>
      <c r="FU74" s="1018"/>
      <c r="FV74" s="1018"/>
      <c r="FW74" s="1018"/>
      <c r="FX74" s="1018"/>
      <c r="FY74" s="1018"/>
      <c r="FZ74" s="1018"/>
      <c r="GA74" s="1018"/>
      <c r="GB74" s="1018"/>
      <c r="GC74" s="1018"/>
      <c r="GD74" s="1018"/>
      <c r="GE74" s="1018"/>
      <c r="GF74" s="1018"/>
      <c r="GG74" s="1018"/>
      <c r="GH74" s="1018"/>
      <c r="GI74" s="1018"/>
      <c r="GJ74" s="1018"/>
      <c r="GK74" s="1018"/>
      <c r="GL74" s="1018"/>
      <c r="GM74" s="1018"/>
      <c r="GN74" s="1018"/>
      <c r="GO74" s="1018"/>
      <c r="GP74" s="1018"/>
      <c r="GQ74" s="1018"/>
      <c r="GR74" s="1018"/>
      <c r="GS74" s="1018"/>
      <c r="GT74" s="1018"/>
      <c r="GU74" s="1018"/>
      <c r="GV74" s="1018"/>
      <c r="GW74" s="1018"/>
      <c r="GX74" s="1018"/>
      <c r="GY74" s="1018"/>
      <c r="GZ74" s="1018"/>
      <c r="HA74" s="1018"/>
    </row>
    <row r="75" spans="1:209" s="1019" customFormat="1" ht="36" customHeight="1">
      <c r="A75" s="962">
        <v>26</v>
      </c>
      <c r="B75" s="976" t="s">
        <v>872</v>
      </c>
      <c r="C75" s="970" t="s">
        <v>746</v>
      </c>
      <c r="D75" s="978" t="s">
        <v>99</v>
      </c>
      <c r="E75" s="954">
        <v>1</v>
      </c>
      <c r="F75" s="958" t="s">
        <v>747</v>
      </c>
      <c r="G75" s="983">
        <v>5.36</v>
      </c>
      <c r="H75" s="984">
        <v>17697</v>
      </c>
      <c r="I75" s="955">
        <v>2</v>
      </c>
      <c r="J75" s="973"/>
      <c r="K75" s="958">
        <f t="shared" si="63"/>
        <v>189711.84000000003</v>
      </c>
      <c r="L75" s="973"/>
      <c r="M75" s="973"/>
      <c r="N75" s="973"/>
      <c r="O75" s="973"/>
      <c r="P75" s="973"/>
      <c r="Q75" s="973"/>
      <c r="R75" s="973"/>
      <c r="S75" s="973"/>
      <c r="T75" s="973"/>
      <c r="U75" s="973"/>
      <c r="V75" s="985">
        <v>30</v>
      </c>
      <c r="W75" s="979">
        <f t="shared" ref="W75:W89" si="76">H75*V75%</f>
        <v>5309.0999999999995</v>
      </c>
      <c r="X75" s="979"/>
      <c r="Y75" s="958">
        <v>75</v>
      </c>
      <c r="Z75" s="959">
        <f>Y75*350%</f>
        <v>262.5</v>
      </c>
      <c r="AA75" s="959">
        <f t="shared" ref="AA75:AA78" si="77">K75*Z75%</f>
        <v>497993.58000000007</v>
      </c>
      <c r="AB75" s="979"/>
      <c r="AC75" s="979"/>
      <c r="AD75" s="958">
        <f t="shared" si="70"/>
        <v>18971.184000000005</v>
      </c>
      <c r="AE75" s="958">
        <f t="shared" si="68"/>
        <v>711985.70400000014</v>
      </c>
      <c r="AF75" s="958">
        <f t="shared" si="64"/>
        <v>8543828.4480000027</v>
      </c>
      <c r="AG75" s="958">
        <f t="shared" si="65"/>
        <v>189711.84000000003</v>
      </c>
      <c r="AH75" s="958">
        <f t="shared" si="69"/>
        <v>8733540.2880000025</v>
      </c>
      <c r="AI75" s="1016"/>
      <c r="AJ75" s="1016"/>
      <c r="AK75" s="1017"/>
      <c r="AL75" s="1017"/>
      <c r="AM75" s="1018"/>
      <c r="AN75" s="1018"/>
      <c r="AO75" s="1018"/>
      <c r="AP75" s="1018"/>
      <c r="AQ75" s="1018"/>
      <c r="AR75" s="1018"/>
      <c r="AS75" s="1018"/>
      <c r="AT75" s="1018"/>
      <c r="AU75" s="1018"/>
      <c r="AV75" s="1018"/>
      <c r="AW75" s="1018"/>
      <c r="AX75" s="1018"/>
      <c r="AY75" s="1018"/>
      <c r="AZ75" s="1018"/>
      <c r="BA75" s="1018"/>
      <c r="BB75" s="1018"/>
      <c r="BC75" s="1018"/>
      <c r="BD75" s="1018"/>
      <c r="BE75" s="1018"/>
      <c r="BF75" s="1018"/>
      <c r="BG75" s="1018"/>
      <c r="BH75" s="1018"/>
      <c r="BI75" s="1018"/>
      <c r="BJ75" s="1018"/>
      <c r="BK75" s="1018"/>
      <c r="BL75" s="1018"/>
      <c r="BM75" s="1018"/>
      <c r="BN75" s="1018"/>
      <c r="BO75" s="1018"/>
      <c r="BP75" s="1018"/>
      <c r="BQ75" s="1018"/>
      <c r="BR75" s="1018"/>
      <c r="BS75" s="1018"/>
      <c r="BT75" s="1018"/>
      <c r="BU75" s="1018"/>
      <c r="BV75" s="1018"/>
      <c r="BW75" s="1018"/>
      <c r="BX75" s="1018"/>
      <c r="BY75" s="1018"/>
      <c r="BZ75" s="1018"/>
      <c r="CA75" s="1018"/>
      <c r="CB75" s="1018"/>
      <c r="CC75" s="1018"/>
      <c r="CD75" s="1018"/>
      <c r="CE75" s="1018"/>
      <c r="CF75" s="1018"/>
      <c r="CG75" s="1018"/>
      <c r="CH75" s="1018"/>
      <c r="CI75" s="1018"/>
      <c r="CJ75" s="1018"/>
      <c r="CK75" s="1018"/>
      <c r="CL75" s="1018"/>
      <c r="CM75" s="1018"/>
      <c r="CN75" s="1018"/>
      <c r="CO75" s="1018"/>
      <c r="CP75" s="1018"/>
      <c r="CQ75" s="1018"/>
      <c r="CR75" s="1018"/>
      <c r="CS75" s="1018"/>
      <c r="CT75" s="1018"/>
      <c r="CU75" s="1018"/>
      <c r="CV75" s="1018"/>
      <c r="CW75" s="1018"/>
      <c r="CX75" s="1018"/>
      <c r="CY75" s="1018"/>
      <c r="CZ75" s="1018"/>
      <c r="DA75" s="1018"/>
      <c r="DB75" s="1018"/>
      <c r="DC75" s="1018"/>
      <c r="DD75" s="1018"/>
      <c r="DE75" s="1018"/>
      <c r="DF75" s="1018"/>
      <c r="DG75" s="1018"/>
      <c r="DH75" s="1018"/>
      <c r="DI75" s="1018"/>
      <c r="DJ75" s="1018"/>
      <c r="DK75" s="1018"/>
      <c r="DL75" s="1018"/>
      <c r="DM75" s="1018"/>
      <c r="DN75" s="1018"/>
      <c r="DO75" s="1018"/>
      <c r="DP75" s="1018"/>
      <c r="DQ75" s="1018"/>
      <c r="DR75" s="1018"/>
      <c r="DS75" s="1018"/>
      <c r="DT75" s="1018"/>
      <c r="DU75" s="1018"/>
      <c r="DV75" s="1018"/>
      <c r="DW75" s="1018"/>
      <c r="DX75" s="1018"/>
      <c r="DY75" s="1018"/>
      <c r="DZ75" s="1018"/>
      <c r="EA75" s="1018"/>
      <c r="EB75" s="1018"/>
      <c r="EC75" s="1018"/>
      <c r="ED75" s="1018"/>
      <c r="EE75" s="1018"/>
      <c r="EF75" s="1018"/>
      <c r="EG75" s="1018"/>
      <c r="EH75" s="1018"/>
      <c r="EI75" s="1018"/>
      <c r="EJ75" s="1018"/>
      <c r="EK75" s="1018"/>
      <c r="EL75" s="1018"/>
      <c r="EM75" s="1018"/>
      <c r="EN75" s="1018"/>
      <c r="EO75" s="1018"/>
      <c r="EP75" s="1018"/>
      <c r="EQ75" s="1018"/>
      <c r="ER75" s="1018"/>
      <c r="ES75" s="1018"/>
      <c r="ET75" s="1018"/>
      <c r="EU75" s="1018"/>
      <c r="EV75" s="1018"/>
      <c r="EW75" s="1018"/>
      <c r="EX75" s="1018"/>
      <c r="EY75" s="1018"/>
      <c r="EZ75" s="1018"/>
      <c r="FA75" s="1018"/>
      <c r="FB75" s="1018"/>
      <c r="FC75" s="1018"/>
      <c r="FD75" s="1018"/>
      <c r="FE75" s="1018"/>
      <c r="FF75" s="1018"/>
      <c r="FG75" s="1018"/>
      <c r="FH75" s="1018"/>
      <c r="FI75" s="1018"/>
      <c r="FJ75" s="1018"/>
      <c r="FK75" s="1018"/>
      <c r="FL75" s="1018"/>
      <c r="FM75" s="1018"/>
      <c r="FN75" s="1018"/>
      <c r="FO75" s="1018"/>
      <c r="FP75" s="1018"/>
      <c r="FQ75" s="1018"/>
      <c r="FR75" s="1018"/>
      <c r="FS75" s="1018"/>
      <c r="FT75" s="1018"/>
      <c r="FU75" s="1018"/>
      <c r="FV75" s="1018"/>
      <c r="FW75" s="1018"/>
      <c r="FX75" s="1018"/>
      <c r="FY75" s="1018"/>
      <c r="FZ75" s="1018"/>
      <c r="GA75" s="1018"/>
      <c r="GB75" s="1018"/>
      <c r="GC75" s="1018"/>
      <c r="GD75" s="1018"/>
      <c r="GE75" s="1018"/>
      <c r="GF75" s="1018"/>
      <c r="GG75" s="1018"/>
      <c r="GH75" s="1018"/>
      <c r="GI75" s="1018"/>
      <c r="GJ75" s="1018"/>
      <c r="GK75" s="1018"/>
      <c r="GL75" s="1018"/>
      <c r="GM75" s="1018"/>
      <c r="GN75" s="1018"/>
      <c r="GO75" s="1018"/>
      <c r="GP75" s="1018"/>
      <c r="GQ75" s="1018"/>
      <c r="GR75" s="1018"/>
      <c r="GS75" s="1018"/>
      <c r="GT75" s="1018"/>
      <c r="GU75" s="1018"/>
      <c r="GV75" s="1018"/>
      <c r="GW75" s="1018"/>
      <c r="GX75" s="1018"/>
      <c r="GY75" s="1018"/>
      <c r="GZ75" s="1018"/>
      <c r="HA75" s="1018"/>
    </row>
    <row r="76" spans="1:209" s="1019" customFormat="1" ht="39.75" customHeight="1">
      <c r="A76" s="962">
        <v>27</v>
      </c>
      <c r="B76" s="976" t="s">
        <v>1228</v>
      </c>
      <c r="C76" s="970" t="s">
        <v>748</v>
      </c>
      <c r="D76" s="978" t="s">
        <v>99</v>
      </c>
      <c r="E76" s="954">
        <v>1</v>
      </c>
      <c r="F76" s="955" t="s">
        <v>731</v>
      </c>
      <c r="G76" s="978">
        <v>6.33</v>
      </c>
      <c r="H76" s="984">
        <v>17697</v>
      </c>
      <c r="I76" s="955">
        <v>2</v>
      </c>
      <c r="J76" s="973"/>
      <c r="K76" s="958">
        <f t="shared" si="63"/>
        <v>224044.02</v>
      </c>
      <c r="L76" s="973"/>
      <c r="M76" s="973"/>
      <c r="N76" s="973"/>
      <c r="O76" s="973"/>
      <c r="P76" s="973"/>
      <c r="Q76" s="973"/>
      <c r="R76" s="973"/>
      <c r="S76" s="973"/>
      <c r="T76" s="973"/>
      <c r="U76" s="973"/>
      <c r="V76" s="985">
        <v>30</v>
      </c>
      <c r="W76" s="979">
        <f t="shared" si="76"/>
        <v>5309.0999999999995</v>
      </c>
      <c r="X76" s="979"/>
      <c r="Y76" s="958">
        <v>75</v>
      </c>
      <c r="Z76" s="959">
        <f t="shared" ref="Z76:Z78" si="78">Y76*350%</f>
        <v>262.5</v>
      </c>
      <c r="AA76" s="959">
        <f t="shared" si="77"/>
        <v>588115.55249999999</v>
      </c>
      <c r="AB76" s="979"/>
      <c r="AC76" s="979"/>
      <c r="AD76" s="958">
        <f t="shared" si="70"/>
        <v>22404.402000000002</v>
      </c>
      <c r="AE76" s="958">
        <f t="shared" si="68"/>
        <v>839873.07449999999</v>
      </c>
      <c r="AF76" s="958">
        <f t="shared" si="64"/>
        <v>10078476.893999999</v>
      </c>
      <c r="AG76" s="958">
        <f t="shared" si="65"/>
        <v>224044.02</v>
      </c>
      <c r="AH76" s="958">
        <f t="shared" si="69"/>
        <v>10302520.913999999</v>
      </c>
      <c r="AI76" s="1016"/>
      <c r="AJ76" s="1016"/>
      <c r="AK76" s="1017"/>
      <c r="AL76" s="1017"/>
      <c r="AM76" s="1018"/>
      <c r="AN76" s="1018"/>
      <c r="AO76" s="1018"/>
      <c r="AP76" s="1018"/>
      <c r="AQ76" s="1018"/>
      <c r="AR76" s="1018"/>
      <c r="AS76" s="1018"/>
      <c r="AT76" s="1018"/>
      <c r="AU76" s="1018"/>
      <c r="AV76" s="1018"/>
      <c r="AW76" s="1018"/>
      <c r="AX76" s="1018"/>
      <c r="AY76" s="1018"/>
      <c r="AZ76" s="1018"/>
      <c r="BA76" s="1018"/>
      <c r="BB76" s="1018"/>
      <c r="BC76" s="1018"/>
      <c r="BD76" s="1018"/>
      <c r="BE76" s="1018"/>
      <c r="BF76" s="1018"/>
      <c r="BG76" s="1018"/>
      <c r="BH76" s="1018"/>
      <c r="BI76" s="1018"/>
      <c r="BJ76" s="1018"/>
      <c r="BK76" s="1018"/>
      <c r="BL76" s="1018"/>
      <c r="BM76" s="1018"/>
      <c r="BN76" s="1018"/>
      <c r="BO76" s="1018"/>
      <c r="BP76" s="1018"/>
      <c r="BQ76" s="1018"/>
      <c r="BR76" s="1018"/>
      <c r="BS76" s="1018"/>
      <c r="BT76" s="1018"/>
      <c r="BU76" s="1018"/>
      <c r="BV76" s="1018"/>
      <c r="BW76" s="1018"/>
      <c r="BX76" s="1018"/>
      <c r="BY76" s="1018"/>
      <c r="BZ76" s="1018"/>
      <c r="CA76" s="1018"/>
      <c r="CB76" s="1018"/>
      <c r="CC76" s="1018"/>
      <c r="CD76" s="1018"/>
      <c r="CE76" s="1018"/>
      <c r="CF76" s="1018"/>
      <c r="CG76" s="1018"/>
      <c r="CH76" s="1018"/>
      <c r="CI76" s="1018"/>
      <c r="CJ76" s="1018"/>
      <c r="CK76" s="1018"/>
      <c r="CL76" s="1018"/>
      <c r="CM76" s="1018"/>
      <c r="CN76" s="1018"/>
      <c r="CO76" s="1018"/>
      <c r="CP76" s="1018"/>
      <c r="CQ76" s="1018"/>
      <c r="CR76" s="1018"/>
      <c r="CS76" s="1018"/>
      <c r="CT76" s="1018"/>
      <c r="CU76" s="1018"/>
      <c r="CV76" s="1018"/>
      <c r="CW76" s="1018"/>
      <c r="CX76" s="1018"/>
      <c r="CY76" s="1018"/>
      <c r="CZ76" s="1018"/>
      <c r="DA76" s="1018"/>
      <c r="DB76" s="1018"/>
      <c r="DC76" s="1018"/>
      <c r="DD76" s="1018"/>
      <c r="DE76" s="1018"/>
      <c r="DF76" s="1018"/>
      <c r="DG76" s="1018"/>
      <c r="DH76" s="1018"/>
      <c r="DI76" s="1018"/>
      <c r="DJ76" s="1018"/>
      <c r="DK76" s="1018"/>
      <c r="DL76" s="1018"/>
      <c r="DM76" s="1018"/>
      <c r="DN76" s="1018"/>
      <c r="DO76" s="1018"/>
      <c r="DP76" s="1018"/>
      <c r="DQ76" s="1018"/>
      <c r="DR76" s="1018"/>
      <c r="DS76" s="1018"/>
      <c r="DT76" s="1018"/>
      <c r="DU76" s="1018"/>
      <c r="DV76" s="1018"/>
      <c r="DW76" s="1018"/>
      <c r="DX76" s="1018"/>
      <c r="DY76" s="1018"/>
      <c r="DZ76" s="1018"/>
      <c r="EA76" s="1018"/>
      <c r="EB76" s="1018"/>
      <c r="EC76" s="1018"/>
      <c r="ED76" s="1018"/>
      <c r="EE76" s="1018"/>
      <c r="EF76" s="1018"/>
      <c r="EG76" s="1018"/>
      <c r="EH76" s="1018"/>
      <c r="EI76" s="1018"/>
      <c r="EJ76" s="1018"/>
      <c r="EK76" s="1018"/>
      <c r="EL76" s="1018"/>
      <c r="EM76" s="1018"/>
      <c r="EN76" s="1018"/>
      <c r="EO76" s="1018"/>
      <c r="EP76" s="1018"/>
      <c r="EQ76" s="1018"/>
      <c r="ER76" s="1018"/>
      <c r="ES76" s="1018"/>
      <c r="ET76" s="1018"/>
      <c r="EU76" s="1018"/>
      <c r="EV76" s="1018"/>
      <c r="EW76" s="1018"/>
      <c r="EX76" s="1018"/>
      <c r="EY76" s="1018"/>
      <c r="EZ76" s="1018"/>
      <c r="FA76" s="1018"/>
      <c r="FB76" s="1018"/>
      <c r="FC76" s="1018"/>
      <c r="FD76" s="1018"/>
      <c r="FE76" s="1018"/>
      <c r="FF76" s="1018"/>
      <c r="FG76" s="1018"/>
      <c r="FH76" s="1018"/>
      <c r="FI76" s="1018"/>
      <c r="FJ76" s="1018"/>
      <c r="FK76" s="1018"/>
      <c r="FL76" s="1018"/>
      <c r="FM76" s="1018"/>
      <c r="FN76" s="1018"/>
      <c r="FO76" s="1018"/>
      <c r="FP76" s="1018"/>
      <c r="FQ76" s="1018"/>
      <c r="FR76" s="1018"/>
      <c r="FS76" s="1018"/>
      <c r="FT76" s="1018"/>
      <c r="FU76" s="1018"/>
      <c r="FV76" s="1018"/>
      <c r="FW76" s="1018"/>
      <c r="FX76" s="1018"/>
      <c r="FY76" s="1018"/>
      <c r="FZ76" s="1018"/>
      <c r="GA76" s="1018"/>
      <c r="GB76" s="1018"/>
      <c r="GC76" s="1018"/>
      <c r="GD76" s="1018"/>
      <c r="GE76" s="1018"/>
      <c r="GF76" s="1018"/>
      <c r="GG76" s="1018"/>
      <c r="GH76" s="1018"/>
      <c r="GI76" s="1018"/>
      <c r="GJ76" s="1018"/>
      <c r="GK76" s="1018"/>
      <c r="GL76" s="1018"/>
      <c r="GM76" s="1018"/>
      <c r="GN76" s="1018"/>
      <c r="GO76" s="1018"/>
      <c r="GP76" s="1018"/>
      <c r="GQ76" s="1018"/>
      <c r="GR76" s="1018"/>
      <c r="GS76" s="1018"/>
      <c r="GT76" s="1018"/>
      <c r="GU76" s="1018"/>
      <c r="GV76" s="1018"/>
      <c r="GW76" s="1018"/>
      <c r="GX76" s="1018"/>
      <c r="GY76" s="1018"/>
      <c r="GZ76" s="1018"/>
      <c r="HA76" s="1018"/>
    </row>
    <row r="77" spans="1:209" s="1019" customFormat="1" ht="40.5" customHeight="1">
      <c r="A77" s="962">
        <v>28</v>
      </c>
      <c r="B77" s="976" t="s">
        <v>121</v>
      </c>
      <c r="C77" s="952" t="s">
        <v>714</v>
      </c>
      <c r="D77" s="978" t="s">
        <v>99</v>
      </c>
      <c r="E77" s="954">
        <v>1</v>
      </c>
      <c r="F77" s="955" t="s">
        <v>731</v>
      </c>
      <c r="G77" s="978">
        <v>6.33</v>
      </c>
      <c r="H77" s="984">
        <v>17697</v>
      </c>
      <c r="I77" s="955">
        <v>2</v>
      </c>
      <c r="J77" s="973"/>
      <c r="K77" s="958">
        <f t="shared" si="63"/>
        <v>224044.02</v>
      </c>
      <c r="L77" s="973"/>
      <c r="M77" s="973"/>
      <c r="N77" s="973"/>
      <c r="O77" s="973"/>
      <c r="P77" s="973"/>
      <c r="Q77" s="973"/>
      <c r="R77" s="973"/>
      <c r="S77" s="973"/>
      <c r="T77" s="973"/>
      <c r="U77" s="973"/>
      <c r="V77" s="985">
        <v>30</v>
      </c>
      <c r="W77" s="979">
        <f t="shared" si="76"/>
        <v>5309.0999999999995</v>
      </c>
      <c r="X77" s="979"/>
      <c r="Y77" s="958">
        <v>75</v>
      </c>
      <c r="Z77" s="959">
        <f t="shared" si="78"/>
        <v>262.5</v>
      </c>
      <c r="AA77" s="959">
        <f t="shared" si="77"/>
        <v>588115.55249999999</v>
      </c>
      <c r="AB77" s="979"/>
      <c r="AC77" s="979"/>
      <c r="AD77" s="958">
        <f t="shared" si="70"/>
        <v>22404.402000000002</v>
      </c>
      <c r="AE77" s="958">
        <f t="shared" si="68"/>
        <v>839873.07449999999</v>
      </c>
      <c r="AF77" s="958">
        <f t="shared" si="64"/>
        <v>10078476.893999999</v>
      </c>
      <c r="AG77" s="958">
        <f t="shared" si="65"/>
        <v>224044.02</v>
      </c>
      <c r="AH77" s="958">
        <f t="shared" si="69"/>
        <v>10302520.913999999</v>
      </c>
      <c r="AI77" s="1016"/>
      <c r="AJ77" s="1016"/>
      <c r="AK77" s="1017"/>
      <c r="AL77" s="1017"/>
      <c r="AM77" s="1018"/>
      <c r="AN77" s="1018"/>
      <c r="AO77" s="1018"/>
      <c r="AP77" s="1018"/>
      <c r="AQ77" s="1018"/>
      <c r="AR77" s="1018"/>
      <c r="AS77" s="1018"/>
      <c r="AT77" s="1018"/>
      <c r="AU77" s="1018"/>
      <c r="AV77" s="1018"/>
      <c r="AW77" s="1018"/>
      <c r="AX77" s="1018"/>
      <c r="AY77" s="1018"/>
      <c r="AZ77" s="1018"/>
      <c r="BA77" s="1018"/>
      <c r="BB77" s="1018"/>
      <c r="BC77" s="1018"/>
      <c r="BD77" s="1018"/>
      <c r="BE77" s="1018"/>
      <c r="BF77" s="1018"/>
      <c r="BG77" s="1018"/>
      <c r="BH77" s="1018"/>
      <c r="BI77" s="1018"/>
      <c r="BJ77" s="1018"/>
      <c r="BK77" s="1018"/>
      <c r="BL77" s="1018"/>
      <c r="BM77" s="1018"/>
      <c r="BN77" s="1018"/>
      <c r="BO77" s="1018"/>
      <c r="BP77" s="1018"/>
      <c r="BQ77" s="1018"/>
      <c r="BR77" s="1018"/>
      <c r="BS77" s="1018"/>
      <c r="BT77" s="1018"/>
      <c r="BU77" s="1018"/>
      <c r="BV77" s="1018"/>
      <c r="BW77" s="1018"/>
      <c r="BX77" s="1018"/>
      <c r="BY77" s="1018"/>
      <c r="BZ77" s="1018"/>
      <c r="CA77" s="1018"/>
      <c r="CB77" s="1018"/>
      <c r="CC77" s="1018"/>
      <c r="CD77" s="1018"/>
      <c r="CE77" s="1018"/>
      <c r="CF77" s="1018"/>
      <c r="CG77" s="1018"/>
      <c r="CH77" s="1018"/>
      <c r="CI77" s="1018"/>
      <c r="CJ77" s="1018"/>
      <c r="CK77" s="1018"/>
      <c r="CL77" s="1018"/>
      <c r="CM77" s="1018"/>
      <c r="CN77" s="1018"/>
      <c r="CO77" s="1018"/>
      <c r="CP77" s="1018"/>
      <c r="CQ77" s="1018"/>
      <c r="CR77" s="1018"/>
      <c r="CS77" s="1018"/>
      <c r="CT77" s="1018"/>
      <c r="CU77" s="1018"/>
      <c r="CV77" s="1018"/>
      <c r="CW77" s="1018"/>
      <c r="CX77" s="1018"/>
      <c r="CY77" s="1018"/>
      <c r="CZ77" s="1018"/>
      <c r="DA77" s="1018"/>
      <c r="DB77" s="1018"/>
      <c r="DC77" s="1018"/>
      <c r="DD77" s="1018"/>
      <c r="DE77" s="1018"/>
      <c r="DF77" s="1018"/>
      <c r="DG77" s="1018"/>
      <c r="DH77" s="1018"/>
      <c r="DI77" s="1018"/>
      <c r="DJ77" s="1018"/>
      <c r="DK77" s="1018"/>
      <c r="DL77" s="1018"/>
      <c r="DM77" s="1018"/>
      <c r="DN77" s="1018"/>
      <c r="DO77" s="1018"/>
      <c r="DP77" s="1018"/>
      <c r="DQ77" s="1018"/>
      <c r="DR77" s="1018"/>
      <c r="DS77" s="1018"/>
      <c r="DT77" s="1018"/>
      <c r="DU77" s="1018"/>
      <c r="DV77" s="1018"/>
      <c r="DW77" s="1018"/>
      <c r="DX77" s="1018"/>
      <c r="DY77" s="1018"/>
      <c r="DZ77" s="1018"/>
      <c r="EA77" s="1018"/>
      <c r="EB77" s="1018"/>
      <c r="EC77" s="1018"/>
      <c r="ED77" s="1018"/>
      <c r="EE77" s="1018"/>
      <c r="EF77" s="1018"/>
      <c r="EG77" s="1018"/>
      <c r="EH77" s="1018"/>
      <c r="EI77" s="1018"/>
      <c r="EJ77" s="1018"/>
      <c r="EK77" s="1018"/>
      <c r="EL77" s="1018"/>
      <c r="EM77" s="1018"/>
      <c r="EN77" s="1018"/>
      <c r="EO77" s="1018"/>
      <c r="EP77" s="1018"/>
      <c r="EQ77" s="1018"/>
      <c r="ER77" s="1018"/>
      <c r="ES77" s="1018"/>
      <c r="ET77" s="1018"/>
      <c r="EU77" s="1018"/>
      <c r="EV77" s="1018"/>
      <c r="EW77" s="1018"/>
      <c r="EX77" s="1018"/>
      <c r="EY77" s="1018"/>
      <c r="EZ77" s="1018"/>
      <c r="FA77" s="1018"/>
      <c r="FB77" s="1018"/>
      <c r="FC77" s="1018"/>
      <c r="FD77" s="1018"/>
      <c r="FE77" s="1018"/>
      <c r="FF77" s="1018"/>
      <c r="FG77" s="1018"/>
      <c r="FH77" s="1018"/>
      <c r="FI77" s="1018"/>
      <c r="FJ77" s="1018"/>
      <c r="FK77" s="1018"/>
      <c r="FL77" s="1018"/>
      <c r="FM77" s="1018"/>
      <c r="FN77" s="1018"/>
      <c r="FO77" s="1018"/>
      <c r="FP77" s="1018"/>
      <c r="FQ77" s="1018"/>
      <c r="FR77" s="1018"/>
      <c r="FS77" s="1018"/>
      <c r="FT77" s="1018"/>
      <c r="FU77" s="1018"/>
      <c r="FV77" s="1018"/>
      <c r="FW77" s="1018"/>
      <c r="FX77" s="1018"/>
      <c r="FY77" s="1018"/>
      <c r="FZ77" s="1018"/>
      <c r="GA77" s="1018"/>
      <c r="GB77" s="1018"/>
      <c r="GC77" s="1018"/>
      <c r="GD77" s="1018"/>
      <c r="GE77" s="1018"/>
      <c r="GF77" s="1018"/>
      <c r="GG77" s="1018"/>
      <c r="GH77" s="1018"/>
      <c r="GI77" s="1018"/>
      <c r="GJ77" s="1018"/>
      <c r="GK77" s="1018"/>
      <c r="GL77" s="1018"/>
      <c r="GM77" s="1018"/>
      <c r="GN77" s="1018"/>
      <c r="GO77" s="1018"/>
      <c r="GP77" s="1018"/>
      <c r="GQ77" s="1018"/>
      <c r="GR77" s="1018"/>
      <c r="GS77" s="1018"/>
      <c r="GT77" s="1018"/>
      <c r="GU77" s="1018"/>
      <c r="GV77" s="1018"/>
      <c r="GW77" s="1018"/>
      <c r="GX77" s="1018"/>
      <c r="GY77" s="1018"/>
      <c r="GZ77" s="1018"/>
      <c r="HA77" s="1018"/>
    </row>
    <row r="78" spans="1:209" s="1019" customFormat="1" ht="42.75" customHeight="1">
      <c r="A78" s="962">
        <v>29</v>
      </c>
      <c r="B78" s="987" t="s">
        <v>1194</v>
      </c>
      <c r="C78" s="987" t="s">
        <v>749</v>
      </c>
      <c r="D78" s="978" t="s">
        <v>99</v>
      </c>
      <c r="E78" s="954">
        <v>1</v>
      </c>
      <c r="F78" s="958" t="s">
        <v>747</v>
      </c>
      <c r="G78" s="983">
        <v>5.36</v>
      </c>
      <c r="H78" s="984">
        <v>17697</v>
      </c>
      <c r="I78" s="955">
        <v>2</v>
      </c>
      <c r="J78" s="973"/>
      <c r="K78" s="958">
        <f t="shared" si="63"/>
        <v>189711.84000000003</v>
      </c>
      <c r="L78" s="973"/>
      <c r="M78" s="973"/>
      <c r="N78" s="973"/>
      <c r="O78" s="973"/>
      <c r="P78" s="973"/>
      <c r="Q78" s="973"/>
      <c r="R78" s="973"/>
      <c r="S78" s="973"/>
      <c r="T78" s="973"/>
      <c r="U78" s="973"/>
      <c r="V78" s="985">
        <v>30</v>
      </c>
      <c r="W78" s="979">
        <f>H78*V78%</f>
        <v>5309.0999999999995</v>
      </c>
      <c r="X78" s="979"/>
      <c r="Y78" s="958">
        <v>75</v>
      </c>
      <c r="Z78" s="959">
        <f t="shared" si="78"/>
        <v>262.5</v>
      </c>
      <c r="AA78" s="959">
        <f t="shared" si="77"/>
        <v>497993.58000000007</v>
      </c>
      <c r="AB78" s="979"/>
      <c r="AC78" s="979"/>
      <c r="AD78" s="958">
        <f t="shared" si="70"/>
        <v>18971.184000000005</v>
      </c>
      <c r="AE78" s="958">
        <f t="shared" si="68"/>
        <v>711985.70400000014</v>
      </c>
      <c r="AF78" s="958">
        <f t="shared" si="64"/>
        <v>8543828.4480000027</v>
      </c>
      <c r="AG78" s="958">
        <f t="shared" si="65"/>
        <v>189711.84000000003</v>
      </c>
      <c r="AH78" s="958">
        <f t="shared" si="69"/>
        <v>8733540.2880000025</v>
      </c>
      <c r="AI78" s="1016"/>
      <c r="AJ78" s="1016"/>
      <c r="AK78" s="1017"/>
      <c r="AL78" s="1017"/>
      <c r="AM78" s="1018"/>
      <c r="AN78" s="1018"/>
      <c r="AO78" s="1018"/>
      <c r="AP78" s="1018"/>
      <c r="AQ78" s="1018"/>
      <c r="AR78" s="1018"/>
      <c r="AS78" s="1018"/>
      <c r="AT78" s="1018"/>
      <c r="AU78" s="1018"/>
      <c r="AV78" s="1018"/>
      <c r="AW78" s="1018"/>
      <c r="AX78" s="1018"/>
      <c r="AY78" s="1018"/>
      <c r="AZ78" s="1018"/>
      <c r="BA78" s="1018"/>
      <c r="BB78" s="1018"/>
      <c r="BC78" s="1018"/>
      <c r="BD78" s="1018"/>
      <c r="BE78" s="1018"/>
      <c r="BF78" s="1018"/>
      <c r="BG78" s="1018"/>
      <c r="BH78" s="1018"/>
      <c r="BI78" s="1018"/>
      <c r="BJ78" s="1018"/>
      <c r="BK78" s="1018"/>
      <c r="BL78" s="1018"/>
      <c r="BM78" s="1018"/>
      <c r="BN78" s="1018"/>
      <c r="BO78" s="1018"/>
      <c r="BP78" s="1018"/>
      <c r="BQ78" s="1018"/>
      <c r="BR78" s="1018"/>
      <c r="BS78" s="1018"/>
      <c r="BT78" s="1018"/>
      <c r="BU78" s="1018"/>
      <c r="BV78" s="1018"/>
      <c r="BW78" s="1018"/>
      <c r="BX78" s="1018"/>
      <c r="BY78" s="1018"/>
      <c r="BZ78" s="1018"/>
      <c r="CA78" s="1018"/>
      <c r="CB78" s="1018"/>
      <c r="CC78" s="1018"/>
      <c r="CD78" s="1018"/>
      <c r="CE78" s="1018"/>
      <c r="CF78" s="1018"/>
      <c r="CG78" s="1018"/>
      <c r="CH78" s="1018"/>
      <c r="CI78" s="1018"/>
      <c r="CJ78" s="1018"/>
      <c r="CK78" s="1018"/>
      <c r="CL78" s="1018"/>
      <c r="CM78" s="1018"/>
      <c r="CN78" s="1018"/>
      <c r="CO78" s="1018"/>
      <c r="CP78" s="1018"/>
      <c r="CQ78" s="1018"/>
      <c r="CR78" s="1018"/>
      <c r="CS78" s="1018"/>
      <c r="CT78" s="1018"/>
      <c r="CU78" s="1018"/>
      <c r="CV78" s="1018"/>
      <c r="CW78" s="1018"/>
      <c r="CX78" s="1018"/>
      <c r="CY78" s="1018"/>
      <c r="CZ78" s="1018"/>
      <c r="DA78" s="1018"/>
      <c r="DB78" s="1018"/>
      <c r="DC78" s="1018"/>
      <c r="DD78" s="1018"/>
      <c r="DE78" s="1018"/>
      <c r="DF78" s="1018"/>
      <c r="DG78" s="1018"/>
      <c r="DH78" s="1018"/>
      <c r="DI78" s="1018"/>
      <c r="DJ78" s="1018"/>
      <c r="DK78" s="1018"/>
      <c r="DL78" s="1018"/>
      <c r="DM78" s="1018"/>
      <c r="DN78" s="1018"/>
      <c r="DO78" s="1018"/>
      <c r="DP78" s="1018"/>
      <c r="DQ78" s="1018"/>
      <c r="DR78" s="1018"/>
      <c r="DS78" s="1018"/>
      <c r="DT78" s="1018"/>
      <c r="DU78" s="1018"/>
      <c r="DV78" s="1018"/>
      <c r="DW78" s="1018"/>
      <c r="DX78" s="1018"/>
      <c r="DY78" s="1018"/>
      <c r="DZ78" s="1018"/>
      <c r="EA78" s="1018"/>
      <c r="EB78" s="1018"/>
      <c r="EC78" s="1018"/>
      <c r="ED78" s="1018"/>
      <c r="EE78" s="1018"/>
      <c r="EF78" s="1018"/>
      <c r="EG78" s="1018"/>
      <c r="EH78" s="1018"/>
      <c r="EI78" s="1018"/>
      <c r="EJ78" s="1018"/>
      <c r="EK78" s="1018"/>
      <c r="EL78" s="1018"/>
      <c r="EM78" s="1018"/>
      <c r="EN78" s="1018"/>
      <c r="EO78" s="1018"/>
      <c r="EP78" s="1018"/>
      <c r="EQ78" s="1018"/>
      <c r="ER78" s="1018"/>
      <c r="ES78" s="1018"/>
      <c r="ET78" s="1018"/>
      <c r="EU78" s="1018"/>
      <c r="EV78" s="1018"/>
      <c r="EW78" s="1018"/>
      <c r="EX78" s="1018"/>
      <c r="EY78" s="1018"/>
      <c r="EZ78" s="1018"/>
      <c r="FA78" s="1018"/>
      <c r="FB78" s="1018"/>
      <c r="FC78" s="1018"/>
      <c r="FD78" s="1018"/>
      <c r="FE78" s="1018"/>
      <c r="FF78" s="1018"/>
      <c r="FG78" s="1018"/>
      <c r="FH78" s="1018"/>
      <c r="FI78" s="1018"/>
      <c r="FJ78" s="1018"/>
      <c r="FK78" s="1018"/>
      <c r="FL78" s="1018"/>
      <c r="FM78" s="1018"/>
      <c r="FN78" s="1018"/>
      <c r="FO78" s="1018"/>
      <c r="FP78" s="1018"/>
      <c r="FQ78" s="1018"/>
      <c r="FR78" s="1018"/>
      <c r="FS78" s="1018"/>
      <c r="FT78" s="1018"/>
      <c r="FU78" s="1018"/>
      <c r="FV78" s="1018"/>
      <c r="FW78" s="1018"/>
      <c r="FX78" s="1018"/>
      <c r="FY78" s="1018"/>
      <c r="FZ78" s="1018"/>
      <c r="GA78" s="1018"/>
      <c r="GB78" s="1018"/>
      <c r="GC78" s="1018"/>
      <c r="GD78" s="1018"/>
      <c r="GE78" s="1018"/>
      <c r="GF78" s="1018"/>
      <c r="GG78" s="1018"/>
      <c r="GH78" s="1018"/>
      <c r="GI78" s="1018"/>
      <c r="GJ78" s="1018"/>
      <c r="GK78" s="1018"/>
      <c r="GL78" s="1018"/>
      <c r="GM78" s="1018"/>
      <c r="GN78" s="1018"/>
      <c r="GO78" s="1018"/>
      <c r="GP78" s="1018"/>
      <c r="GQ78" s="1018"/>
      <c r="GR78" s="1018"/>
      <c r="GS78" s="1018"/>
      <c r="GT78" s="1018"/>
      <c r="GU78" s="1018"/>
      <c r="GV78" s="1018"/>
      <c r="GW78" s="1018"/>
      <c r="GX78" s="1018"/>
      <c r="GY78" s="1018"/>
      <c r="GZ78" s="1018"/>
      <c r="HA78" s="1018"/>
    </row>
    <row r="79" spans="1:209" s="1019" customFormat="1" ht="38.25" customHeight="1">
      <c r="A79" s="962">
        <v>30</v>
      </c>
      <c r="B79" s="987" t="s">
        <v>1195</v>
      </c>
      <c r="C79" s="970" t="s">
        <v>750</v>
      </c>
      <c r="D79" s="986" t="s">
        <v>91</v>
      </c>
      <c r="E79" s="954">
        <v>1</v>
      </c>
      <c r="F79" s="958" t="s">
        <v>78</v>
      </c>
      <c r="G79" s="978">
        <v>5.0999999999999996</v>
      </c>
      <c r="H79" s="984">
        <v>17697</v>
      </c>
      <c r="I79" s="955">
        <v>2</v>
      </c>
      <c r="J79" s="973"/>
      <c r="K79" s="958">
        <f t="shared" si="63"/>
        <v>180509.4</v>
      </c>
      <c r="L79" s="973"/>
      <c r="M79" s="973"/>
      <c r="N79" s="973"/>
      <c r="O79" s="973"/>
      <c r="P79" s="973"/>
      <c r="Q79" s="973"/>
      <c r="R79" s="973"/>
      <c r="S79" s="973"/>
      <c r="T79" s="973"/>
      <c r="U79" s="973"/>
      <c r="V79" s="985">
        <v>30</v>
      </c>
      <c r="W79" s="979">
        <f>H79*V79%</f>
        <v>5309.0999999999995</v>
      </c>
      <c r="X79" s="979"/>
      <c r="Y79" s="979"/>
      <c r="Z79" s="979"/>
      <c r="AA79" s="979"/>
      <c r="AB79" s="979">
        <v>170</v>
      </c>
      <c r="AC79" s="979">
        <f>K79*AB79%</f>
        <v>306865.98</v>
      </c>
      <c r="AD79" s="958">
        <f t="shared" si="70"/>
        <v>18050.939999999999</v>
      </c>
      <c r="AE79" s="958">
        <f t="shared" si="68"/>
        <v>510735.42</v>
      </c>
      <c r="AF79" s="958">
        <f t="shared" si="64"/>
        <v>6128825.04</v>
      </c>
      <c r="AG79" s="958">
        <f t="shared" si="65"/>
        <v>180509.4</v>
      </c>
      <c r="AH79" s="958">
        <f t="shared" si="69"/>
        <v>6309334.4400000004</v>
      </c>
      <c r="AI79" s="1016"/>
      <c r="AJ79" s="1016"/>
      <c r="AK79" s="1017"/>
      <c r="AL79" s="1017"/>
      <c r="AM79" s="1018"/>
      <c r="AN79" s="1018"/>
      <c r="AO79" s="1018"/>
      <c r="AP79" s="1018"/>
      <c r="AQ79" s="1018"/>
      <c r="AR79" s="1018"/>
      <c r="AS79" s="1018"/>
      <c r="AT79" s="1018"/>
      <c r="AU79" s="1018"/>
      <c r="AV79" s="1018"/>
      <c r="AW79" s="1018"/>
      <c r="AX79" s="1018"/>
      <c r="AY79" s="1018"/>
      <c r="AZ79" s="1018"/>
      <c r="BA79" s="1018"/>
      <c r="BB79" s="1018"/>
      <c r="BC79" s="1018"/>
      <c r="BD79" s="1018"/>
      <c r="BE79" s="1018"/>
      <c r="BF79" s="1018"/>
      <c r="BG79" s="1018"/>
      <c r="BH79" s="1018"/>
      <c r="BI79" s="1018"/>
      <c r="BJ79" s="1018"/>
      <c r="BK79" s="1018"/>
      <c r="BL79" s="1018"/>
      <c r="BM79" s="1018"/>
      <c r="BN79" s="1018"/>
      <c r="BO79" s="1018"/>
      <c r="BP79" s="1018"/>
      <c r="BQ79" s="1018"/>
      <c r="BR79" s="1018"/>
      <c r="BS79" s="1018"/>
      <c r="BT79" s="1018"/>
      <c r="BU79" s="1018"/>
      <c r="BV79" s="1018"/>
      <c r="BW79" s="1018"/>
      <c r="BX79" s="1018"/>
      <c r="BY79" s="1018"/>
      <c r="BZ79" s="1018"/>
      <c r="CA79" s="1018"/>
      <c r="CB79" s="1018"/>
      <c r="CC79" s="1018"/>
      <c r="CD79" s="1018"/>
      <c r="CE79" s="1018"/>
      <c r="CF79" s="1018"/>
      <c r="CG79" s="1018"/>
      <c r="CH79" s="1018"/>
      <c r="CI79" s="1018"/>
      <c r="CJ79" s="1018"/>
      <c r="CK79" s="1018"/>
      <c r="CL79" s="1018"/>
      <c r="CM79" s="1018"/>
      <c r="CN79" s="1018"/>
      <c r="CO79" s="1018"/>
      <c r="CP79" s="1018"/>
      <c r="CQ79" s="1018"/>
      <c r="CR79" s="1018"/>
      <c r="CS79" s="1018"/>
      <c r="CT79" s="1018"/>
      <c r="CU79" s="1018"/>
      <c r="CV79" s="1018"/>
      <c r="CW79" s="1018"/>
      <c r="CX79" s="1018"/>
      <c r="CY79" s="1018"/>
      <c r="CZ79" s="1018"/>
      <c r="DA79" s="1018"/>
      <c r="DB79" s="1018"/>
      <c r="DC79" s="1018"/>
      <c r="DD79" s="1018"/>
      <c r="DE79" s="1018"/>
      <c r="DF79" s="1018"/>
      <c r="DG79" s="1018"/>
      <c r="DH79" s="1018"/>
      <c r="DI79" s="1018"/>
      <c r="DJ79" s="1018"/>
      <c r="DK79" s="1018"/>
      <c r="DL79" s="1018"/>
      <c r="DM79" s="1018"/>
      <c r="DN79" s="1018"/>
      <c r="DO79" s="1018"/>
      <c r="DP79" s="1018"/>
      <c r="DQ79" s="1018"/>
      <c r="DR79" s="1018"/>
      <c r="DS79" s="1018"/>
      <c r="DT79" s="1018"/>
      <c r="DU79" s="1018"/>
      <c r="DV79" s="1018"/>
      <c r="DW79" s="1018"/>
      <c r="DX79" s="1018"/>
      <c r="DY79" s="1018"/>
      <c r="DZ79" s="1018"/>
      <c r="EA79" s="1018"/>
      <c r="EB79" s="1018"/>
      <c r="EC79" s="1018"/>
      <c r="ED79" s="1018"/>
      <c r="EE79" s="1018"/>
      <c r="EF79" s="1018"/>
      <c r="EG79" s="1018"/>
      <c r="EH79" s="1018"/>
      <c r="EI79" s="1018"/>
      <c r="EJ79" s="1018"/>
      <c r="EK79" s="1018"/>
      <c r="EL79" s="1018"/>
      <c r="EM79" s="1018"/>
      <c r="EN79" s="1018"/>
      <c r="EO79" s="1018"/>
      <c r="EP79" s="1018"/>
      <c r="EQ79" s="1018"/>
      <c r="ER79" s="1018"/>
      <c r="ES79" s="1018"/>
      <c r="ET79" s="1018"/>
      <c r="EU79" s="1018"/>
      <c r="EV79" s="1018"/>
      <c r="EW79" s="1018"/>
      <c r="EX79" s="1018"/>
      <c r="EY79" s="1018"/>
      <c r="EZ79" s="1018"/>
      <c r="FA79" s="1018"/>
      <c r="FB79" s="1018"/>
      <c r="FC79" s="1018"/>
      <c r="FD79" s="1018"/>
      <c r="FE79" s="1018"/>
      <c r="FF79" s="1018"/>
      <c r="FG79" s="1018"/>
      <c r="FH79" s="1018"/>
      <c r="FI79" s="1018"/>
      <c r="FJ79" s="1018"/>
      <c r="FK79" s="1018"/>
      <c r="FL79" s="1018"/>
      <c r="FM79" s="1018"/>
      <c r="FN79" s="1018"/>
      <c r="FO79" s="1018"/>
      <c r="FP79" s="1018"/>
      <c r="FQ79" s="1018"/>
      <c r="FR79" s="1018"/>
      <c r="FS79" s="1018"/>
      <c r="FT79" s="1018"/>
      <c r="FU79" s="1018"/>
      <c r="FV79" s="1018"/>
      <c r="FW79" s="1018"/>
      <c r="FX79" s="1018"/>
      <c r="FY79" s="1018"/>
      <c r="FZ79" s="1018"/>
      <c r="GA79" s="1018"/>
      <c r="GB79" s="1018"/>
      <c r="GC79" s="1018"/>
      <c r="GD79" s="1018"/>
      <c r="GE79" s="1018"/>
      <c r="GF79" s="1018"/>
      <c r="GG79" s="1018"/>
      <c r="GH79" s="1018"/>
      <c r="GI79" s="1018"/>
      <c r="GJ79" s="1018"/>
      <c r="GK79" s="1018"/>
      <c r="GL79" s="1018"/>
      <c r="GM79" s="1018"/>
      <c r="GN79" s="1018"/>
      <c r="GO79" s="1018"/>
      <c r="GP79" s="1018"/>
      <c r="GQ79" s="1018"/>
      <c r="GR79" s="1018"/>
      <c r="GS79" s="1018"/>
      <c r="GT79" s="1018"/>
      <c r="GU79" s="1018"/>
      <c r="GV79" s="1018"/>
      <c r="GW79" s="1018"/>
      <c r="GX79" s="1018"/>
      <c r="GY79" s="1018"/>
      <c r="GZ79" s="1018"/>
      <c r="HA79" s="1018"/>
    </row>
    <row r="80" spans="1:209" s="1019" customFormat="1" ht="39.75" customHeight="1">
      <c r="A80" s="962">
        <v>31</v>
      </c>
      <c r="B80" s="987" t="s">
        <v>1195</v>
      </c>
      <c r="C80" s="970" t="s">
        <v>751</v>
      </c>
      <c r="D80" s="986" t="s">
        <v>91</v>
      </c>
      <c r="E80" s="988">
        <v>1</v>
      </c>
      <c r="F80" s="958" t="s">
        <v>80</v>
      </c>
      <c r="G80" s="978">
        <v>5.0199999999999996</v>
      </c>
      <c r="H80" s="984">
        <v>17697</v>
      </c>
      <c r="I80" s="955">
        <v>2</v>
      </c>
      <c r="J80" s="973"/>
      <c r="K80" s="958">
        <f t="shared" si="63"/>
        <v>177677.87999999998</v>
      </c>
      <c r="L80" s="973"/>
      <c r="M80" s="973"/>
      <c r="N80" s="973"/>
      <c r="O80" s="973"/>
      <c r="P80" s="973"/>
      <c r="Q80" s="973"/>
      <c r="R80" s="973"/>
      <c r="S80" s="973"/>
      <c r="T80" s="973"/>
      <c r="U80" s="973"/>
      <c r="V80" s="985">
        <v>30</v>
      </c>
      <c r="W80" s="979">
        <f>H80*V80%</f>
        <v>5309.0999999999995</v>
      </c>
      <c r="X80" s="979"/>
      <c r="Y80" s="979"/>
      <c r="Z80" s="979"/>
      <c r="AA80" s="979"/>
      <c r="AB80" s="1288"/>
      <c r="AC80" s="1288">
        <f>K80*AB80%</f>
        <v>0</v>
      </c>
      <c r="AD80" s="958">
        <f t="shared" si="70"/>
        <v>17767.787999999997</v>
      </c>
      <c r="AE80" s="958">
        <f t="shared" si="68"/>
        <v>200754.76799999998</v>
      </c>
      <c r="AF80" s="958">
        <f t="shared" si="64"/>
        <v>2409057.216</v>
      </c>
      <c r="AG80" s="958">
        <f t="shared" si="65"/>
        <v>177677.87999999998</v>
      </c>
      <c r="AH80" s="958">
        <f t="shared" si="69"/>
        <v>2586735.0959999999</v>
      </c>
      <c r="AI80" s="1016"/>
      <c r="AJ80" s="1016"/>
      <c r="AK80" s="1017"/>
      <c r="AL80" s="1017"/>
      <c r="AM80" s="1018"/>
      <c r="AN80" s="1018"/>
      <c r="AO80" s="1018"/>
      <c r="AP80" s="1018"/>
      <c r="AQ80" s="1018"/>
      <c r="AR80" s="1018"/>
      <c r="AS80" s="1018"/>
      <c r="AT80" s="1018"/>
      <c r="AU80" s="1018"/>
      <c r="AV80" s="1018"/>
      <c r="AW80" s="1018"/>
      <c r="AX80" s="1018"/>
      <c r="AY80" s="1018"/>
      <c r="AZ80" s="1018"/>
      <c r="BA80" s="1018"/>
      <c r="BB80" s="1018"/>
      <c r="BC80" s="1018"/>
      <c r="BD80" s="1018"/>
      <c r="BE80" s="1018"/>
      <c r="BF80" s="1018"/>
      <c r="BG80" s="1018"/>
      <c r="BH80" s="1018"/>
      <c r="BI80" s="1018"/>
      <c r="BJ80" s="1018"/>
      <c r="BK80" s="1018"/>
      <c r="BL80" s="1018"/>
      <c r="BM80" s="1018"/>
      <c r="BN80" s="1018"/>
      <c r="BO80" s="1018"/>
      <c r="BP80" s="1018"/>
      <c r="BQ80" s="1018"/>
      <c r="BR80" s="1018"/>
      <c r="BS80" s="1018"/>
      <c r="BT80" s="1018"/>
      <c r="BU80" s="1018"/>
      <c r="BV80" s="1018"/>
      <c r="BW80" s="1018"/>
      <c r="BX80" s="1018"/>
      <c r="BY80" s="1018"/>
      <c r="BZ80" s="1018"/>
      <c r="CA80" s="1018"/>
      <c r="CB80" s="1018"/>
      <c r="CC80" s="1018"/>
      <c r="CD80" s="1018"/>
      <c r="CE80" s="1018"/>
      <c r="CF80" s="1018"/>
      <c r="CG80" s="1018"/>
      <c r="CH80" s="1018"/>
      <c r="CI80" s="1018"/>
      <c r="CJ80" s="1018"/>
      <c r="CK80" s="1018"/>
      <c r="CL80" s="1018"/>
      <c r="CM80" s="1018"/>
      <c r="CN80" s="1018"/>
      <c r="CO80" s="1018"/>
      <c r="CP80" s="1018"/>
      <c r="CQ80" s="1018"/>
      <c r="CR80" s="1018"/>
      <c r="CS80" s="1018"/>
      <c r="CT80" s="1018"/>
      <c r="CU80" s="1018"/>
      <c r="CV80" s="1018"/>
      <c r="CW80" s="1018"/>
      <c r="CX80" s="1018"/>
      <c r="CY80" s="1018"/>
      <c r="CZ80" s="1018"/>
      <c r="DA80" s="1018"/>
      <c r="DB80" s="1018"/>
      <c r="DC80" s="1018"/>
      <c r="DD80" s="1018"/>
      <c r="DE80" s="1018"/>
      <c r="DF80" s="1018"/>
      <c r="DG80" s="1018"/>
      <c r="DH80" s="1018"/>
      <c r="DI80" s="1018"/>
      <c r="DJ80" s="1018"/>
      <c r="DK80" s="1018"/>
      <c r="DL80" s="1018"/>
      <c r="DM80" s="1018"/>
      <c r="DN80" s="1018"/>
      <c r="DO80" s="1018"/>
      <c r="DP80" s="1018"/>
      <c r="DQ80" s="1018"/>
      <c r="DR80" s="1018"/>
      <c r="DS80" s="1018"/>
      <c r="DT80" s="1018"/>
      <c r="DU80" s="1018"/>
      <c r="DV80" s="1018"/>
      <c r="DW80" s="1018"/>
      <c r="DX80" s="1018"/>
      <c r="DY80" s="1018"/>
      <c r="DZ80" s="1018"/>
      <c r="EA80" s="1018"/>
      <c r="EB80" s="1018"/>
      <c r="EC80" s="1018"/>
      <c r="ED80" s="1018"/>
      <c r="EE80" s="1018"/>
      <c r="EF80" s="1018"/>
      <c r="EG80" s="1018"/>
      <c r="EH80" s="1018"/>
      <c r="EI80" s="1018"/>
      <c r="EJ80" s="1018"/>
      <c r="EK80" s="1018"/>
      <c r="EL80" s="1018"/>
      <c r="EM80" s="1018"/>
      <c r="EN80" s="1018"/>
      <c r="EO80" s="1018"/>
      <c r="EP80" s="1018"/>
      <c r="EQ80" s="1018"/>
      <c r="ER80" s="1018"/>
      <c r="ES80" s="1018"/>
      <c r="ET80" s="1018"/>
      <c r="EU80" s="1018"/>
      <c r="EV80" s="1018"/>
      <c r="EW80" s="1018"/>
      <c r="EX80" s="1018"/>
      <c r="EY80" s="1018"/>
      <c r="EZ80" s="1018"/>
      <c r="FA80" s="1018"/>
      <c r="FB80" s="1018"/>
      <c r="FC80" s="1018"/>
      <c r="FD80" s="1018"/>
      <c r="FE80" s="1018"/>
      <c r="FF80" s="1018"/>
      <c r="FG80" s="1018"/>
      <c r="FH80" s="1018"/>
      <c r="FI80" s="1018"/>
      <c r="FJ80" s="1018"/>
      <c r="FK80" s="1018"/>
      <c r="FL80" s="1018"/>
      <c r="FM80" s="1018"/>
      <c r="FN80" s="1018"/>
      <c r="FO80" s="1018"/>
      <c r="FP80" s="1018"/>
      <c r="FQ80" s="1018"/>
      <c r="FR80" s="1018"/>
      <c r="FS80" s="1018"/>
      <c r="FT80" s="1018"/>
      <c r="FU80" s="1018"/>
      <c r="FV80" s="1018"/>
      <c r="FW80" s="1018"/>
      <c r="FX80" s="1018"/>
      <c r="FY80" s="1018"/>
      <c r="FZ80" s="1018"/>
      <c r="GA80" s="1018"/>
      <c r="GB80" s="1018"/>
      <c r="GC80" s="1018"/>
      <c r="GD80" s="1018"/>
      <c r="GE80" s="1018"/>
      <c r="GF80" s="1018"/>
      <c r="GG80" s="1018"/>
      <c r="GH80" s="1018"/>
      <c r="GI80" s="1018"/>
      <c r="GJ80" s="1018"/>
      <c r="GK80" s="1018"/>
      <c r="GL80" s="1018"/>
      <c r="GM80" s="1018"/>
      <c r="GN80" s="1018"/>
      <c r="GO80" s="1018"/>
      <c r="GP80" s="1018"/>
      <c r="GQ80" s="1018"/>
      <c r="GR80" s="1018"/>
      <c r="GS80" s="1018"/>
      <c r="GT80" s="1018"/>
      <c r="GU80" s="1018"/>
      <c r="GV80" s="1018"/>
      <c r="GW80" s="1018"/>
      <c r="GX80" s="1018"/>
      <c r="GY80" s="1018"/>
      <c r="GZ80" s="1018"/>
      <c r="HA80" s="1018"/>
    </row>
    <row r="81" spans="1:209" s="1019" customFormat="1" ht="36.75" customHeight="1">
      <c r="A81" s="962">
        <v>32</v>
      </c>
      <c r="B81" s="987" t="s">
        <v>1195</v>
      </c>
      <c r="C81" s="987" t="s">
        <v>752</v>
      </c>
      <c r="D81" s="986" t="s">
        <v>91</v>
      </c>
      <c r="E81" s="954">
        <v>1</v>
      </c>
      <c r="F81" s="958" t="s">
        <v>707</v>
      </c>
      <c r="G81" s="978">
        <v>4.87</v>
      </c>
      <c r="H81" s="984">
        <v>17697</v>
      </c>
      <c r="I81" s="955">
        <v>2</v>
      </c>
      <c r="J81" s="973"/>
      <c r="K81" s="958">
        <f t="shared" si="63"/>
        <v>172368.78</v>
      </c>
      <c r="L81" s="973"/>
      <c r="M81" s="973"/>
      <c r="N81" s="973"/>
      <c r="O81" s="973"/>
      <c r="P81" s="973"/>
      <c r="Q81" s="973"/>
      <c r="R81" s="973"/>
      <c r="S81" s="973"/>
      <c r="T81" s="973"/>
      <c r="U81" s="973"/>
      <c r="V81" s="985">
        <v>30</v>
      </c>
      <c r="W81" s="979">
        <f>H81*V81%</f>
        <v>5309.0999999999995</v>
      </c>
      <c r="X81" s="979"/>
      <c r="Y81" s="979"/>
      <c r="Z81" s="979"/>
      <c r="AA81" s="979"/>
      <c r="AB81" s="979">
        <v>170</v>
      </c>
      <c r="AC81" s="979">
        <f>K81*AB81%</f>
        <v>293026.92599999998</v>
      </c>
      <c r="AD81" s="958">
        <f t="shared" si="70"/>
        <v>17236.878000000001</v>
      </c>
      <c r="AE81" s="958">
        <f t="shared" si="68"/>
        <v>487941.68400000001</v>
      </c>
      <c r="AF81" s="958">
        <f t="shared" si="64"/>
        <v>5855300.2080000006</v>
      </c>
      <c r="AG81" s="958">
        <f t="shared" si="65"/>
        <v>172368.78</v>
      </c>
      <c r="AH81" s="958">
        <f t="shared" si="69"/>
        <v>6027668.9880000008</v>
      </c>
      <c r="AI81" s="1016"/>
      <c r="AJ81" s="1016"/>
      <c r="AK81" s="1017"/>
      <c r="AL81" s="1017"/>
      <c r="AM81" s="1018"/>
      <c r="AN81" s="1018"/>
      <c r="AO81" s="1018"/>
      <c r="AP81" s="1018"/>
      <c r="AQ81" s="1018"/>
      <c r="AR81" s="1018"/>
      <c r="AS81" s="1018"/>
      <c r="AT81" s="1018"/>
      <c r="AU81" s="1018"/>
      <c r="AV81" s="1018"/>
      <c r="AW81" s="1018"/>
      <c r="AX81" s="1018"/>
      <c r="AY81" s="1018"/>
      <c r="AZ81" s="1018"/>
      <c r="BA81" s="1018"/>
      <c r="BB81" s="1018"/>
      <c r="BC81" s="1018"/>
      <c r="BD81" s="1018"/>
      <c r="BE81" s="1018"/>
      <c r="BF81" s="1018"/>
      <c r="BG81" s="1018"/>
      <c r="BH81" s="1018"/>
      <c r="BI81" s="1018"/>
      <c r="BJ81" s="1018"/>
      <c r="BK81" s="1018"/>
      <c r="BL81" s="1018"/>
      <c r="BM81" s="1018"/>
      <c r="BN81" s="1018"/>
      <c r="BO81" s="1018"/>
      <c r="BP81" s="1018"/>
      <c r="BQ81" s="1018"/>
      <c r="BR81" s="1018"/>
      <c r="BS81" s="1018"/>
      <c r="BT81" s="1018"/>
      <c r="BU81" s="1018"/>
      <c r="BV81" s="1018"/>
      <c r="BW81" s="1018"/>
      <c r="BX81" s="1018"/>
      <c r="BY81" s="1018"/>
      <c r="BZ81" s="1018"/>
      <c r="CA81" s="1018"/>
      <c r="CB81" s="1018"/>
      <c r="CC81" s="1018"/>
      <c r="CD81" s="1018"/>
      <c r="CE81" s="1018"/>
      <c r="CF81" s="1018"/>
      <c r="CG81" s="1018"/>
      <c r="CH81" s="1018"/>
      <c r="CI81" s="1018"/>
      <c r="CJ81" s="1018"/>
      <c r="CK81" s="1018"/>
      <c r="CL81" s="1018"/>
      <c r="CM81" s="1018"/>
      <c r="CN81" s="1018"/>
      <c r="CO81" s="1018"/>
      <c r="CP81" s="1018"/>
      <c r="CQ81" s="1018"/>
      <c r="CR81" s="1018"/>
      <c r="CS81" s="1018"/>
      <c r="CT81" s="1018"/>
      <c r="CU81" s="1018"/>
      <c r="CV81" s="1018"/>
      <c r="CW81" s="1018"/>
      <c r="CX81" s="1018"/>
      <c r="CY81" s="1018"/>
      <c r="CZ81" s="1018"/>
      <c r="DA81" s="1018"/>
      <c r="DB81" s="1018"/>
      <c r="DC81" s="1018"/>
      <c r="DD81" s="1018"/>
      <c r="DE81" s="1018"/>
      <c r="DF81" s="1018"/>
      <c r="DG81" s="1018"/>
      <c r="DH81" s="1018"/>
      <c r="DI81" s="1018"/>
      <c r="DJ81" s="1018"/>
      <c r="DK81" s="1018"/>
      <c r="DL81" s="1018"/>
      <c r="DM81" s="1018"/>
      <c r="DN81" s="1018"/>
      <c r="DO81" s="1018"/>
      <c r="DP81" s="1018"/>
      <c r="DQ81" s="1018"/>
      <c r="DR81" s="1018"/>
      <c r="DS81" s="1018"/>
      <c r="DT81" s="1018"/>
      <c r="DU81" s="1018"/>
      <c r="DV81" s="1018"/>
      <c r="DW81" s="1018"/>
      <c r="DX81" s="1018"/>
      <c r="DY81" s="1018"/>
      <c r="DZ81" s="1018"/>
      <c r="EA81" s="1018"/>
      <c r="EB81" s="1018"/>
      <c r="EC81" s="1018"/>
      <c r="ED81" s="1018"/>
      <c r="EE81" s="1018"/>
      <c r="EF81" s="1018"/>
      <c r="EG81" s="1018"/>
      <c r="EH81" s="1018"/>
      <c r="EI81" s="1018"/>
      <c r="EJ81" s="1018"/>
      <c r="EK81" s="1018"/>
      <c r="EL81" s="1018"/>
      <c r="EM81" s="1018"/>
      <c r="EN81" s="1018"/>
      <c r="EO81" s="1018"/>
      <c r="EP81" s="1018"/>
      <c r="EQ81" s="1018"/>
      <c r="ER81" s="1018"/>
      <c r="ES81" s="1018"/>
      <c r="ET81" s="1018"/>
      <c r="EU81" s="1018"/>
      <c r="EV81" s="1018"/>
      <c r="EW81" s="1018"/>
      <c r="EX81" s="1018"/>
      <c r="EY81" s="1018"/>
      <c r="EZ81" s="1018"/>
      <c r="FA81" s="1018"/>
      <c r="FB81" s="1018"/>
      <c r="FC81" s="1018"/>
      <c r="FD81" s="1018"/>
      <c r="FE81" s="1018"/>
      <c r="FF81" s="1018"/>
      <c r="FG81" s="1018"/>
      <c r="FH81" s="1018"/>
      <c r="FI81" s="1018"/>
      <c r="FJ81" s="1018"/>
      <c r="FK81" s="1018"/>
      <c r="FL81" s="1018"/>
      <c r="FM81" s="1018"/>
      <c r="FN81" s="1018"/>
      <c r="FO81" s="1018"/>
      <c r="FP81" s="1018"/>
      <c r="FQ81" s="1018"/>
      <c r="FR81" s="1018"/>
      <c r="FS81" s="1018"/>
      <c r="FT81" s="1018"/>
      <c r="FU81" s="1018"/>
      <c r="FV81" s="1018"/>
      <c r="FW81" s="1018"/>
      <c r="FX81" s="1018"/>
      <c r="FY81" s="1018"/>
      <c r="FZ81" s="1018"/>
      <c r="GA81" s="1018"/>
      <c r="GB81" s="1018"/>
      <c r="GC81" s="1018"/>
      <c r="GD81" s="1018"/>
      <c r="GE81" s="1018"/>
      <c r="GF81" s="1018"/>
      <c r="GG81" s="1018"/>
      <c r="GH81" s="1018"/>
      <c r="GI81" s="1018"/>
      <c r="GJ81" s="1018"/>
      <c r="GK81" s="1018"/>
      <c r="GL81" s="1018"/>
      <c r="GM81" s="1018"/>
      <c r="GN81" s="1018"/>
      <c r="GO81" s="1018"/>
      <c r="GP81" s="1018"/>
      <c r="GQ81" s="1018"/>
      <c r="GR81" s="1018"/>
      <c r="GS81" s="1018"/>
      <c r="GT81" s="1018"/>
      <c r="GU81" s="1018"/>
      <c r="GV81" s="1018"/>
      <c r="GW81" s="1018"/>
      <c r="GX81" s="1018"/>
      <c r="GY81" s="1018"/>
      <c r="GZ81" s="1018"/>
      <c r="HA81" s="1018"/>
    </row>
    <row r="82" spans="1:209" s="1019" customFormat="1" ht="39.75" customHeight="1">
      <c r="A82" s="962">
        <v>33</v>
      </c>
      <c r="B82" s="976" t="s">
        <v>1196</v>
      </c>
      <c r="C82" s="977" t="s">
        <v>753</v>
      </c>
      <c r="D82" s="978" t="s">
        <v>99</v>
      </c>
      <c r="E82" s="988">
        <v>1</v>
      </c>
      <c r="F82" s="958" t="s">
        <v>733</v>
      </c>
      <c r="G82" s="983">
        <v>5.82</v>
      </c>
      <c r="H82" s="984">
        <v>17697</v>
      </c>
      <c r="I82" s="955">
        <v>2</v>
      </c>
      <c r="J82" s="973"/>
      <c r="K82" s="958">
        <f t="shared" si="63"/>
        <v>205993.08000000002</v>
      </c>
      <c r="L82" s="973"/>
      <c r="M82" s="973"/>
      <c r="N82" s="973"/>
      <c r="O82" s="973"/>
      <c r="P82" s="973"/>
      <c r="Q82" s="973"/>
      <c r="R82" s="973"/>
      <c r="S82" s="973"/>
      <c r="T82" s="973"/>
      <c r="U82" s="973"/>
      <c r="V82" s="985">
        <v>30</v>
      </c>
      <c r="W82" s="979">
        <f t="shared" si="76"/>
        <v>5309.0999999999995</v>
      </c>
      <c r="X82" s="979"/>
      <c r="Y82" s="958">
        <v>75</v>
      </c>
      <c r="Z82" s="959">
        <f>Y82*350%</f>
        <v>262.5</v>
      </c>
      <c r="AA82" s="959">
        <f t="shared" ref="AA82:AA87" si="79">K82*Z82%</f>
        <v>540731.83500000008</v>
      </c>
      <c r="AB82" s="979"/>
      <c r="AC82" s="979"/>
      <c r="AD82" s="958">
        <f t="shared" si="70"/>
        <v>20599.308000000005</v>
      </c>
      <c r="AE82" s="958">
        <f t="shared" si="68"/>
        <v>772633.32300000009</v>
      </c>
      <c r="AF82" s="958">
        <f t="shared" si="64"/>
        <v>9271599.876000002</v>
      </c>
      <c r="AG82" s="958">
        <f t="shared" si="65"/>
        <v>205993.08000000002</v>
      </c>
      <c r="AH82" s="958">
        <f t="shared" si="69"/>
        <v>9477592.9560000021</v>
      </c>
      <c r="AI82" s="1016"/>
      <c r="AJ82" s="1016"/>
      <c r="AK82" s="1017"/>
      <c r="AL82" s="1017"/>
      <c r="AM82" s="1018"/>
      <c r="AN82" s="1018"/>
      <c r="AO82" s="1018"/>
      <c r="AP82" s="1018"/>
      <c r="AQ82" s="1018"/>
      <c r="AR82" s="1018"/>
      <c r="AS82" s="1018"/>
      <c r="AT82" s="1018"/>
      <c r="AU82" s="1018"/>
      <c r="AV82" s="1018"/>
      <c r="AW82" s="1018"/>
      <c r="AX82" s="1018"/>
      <c r="AY82" s="1018"/>
      <c r="AZ82" s="1018"/>
      <c r="BA82" s="1018"/>
      <c r="BB82" s="1018"/>
      <c r="BC82" s="1018"/>
      <c r="BD82" s="1018"/>
      <c r="BE82" s="1018"/>
      <c r="BF82" s="1018"/>
      <c r="BG82" s="1018"/>
      <c r="BH82" s="1018"/>
      <c r="BI82" s="1018"/>
      <c r="BJ82" s="1018"/>
      <c r="BK82" s="1018"/>
      <c r="BL82" s="1018"/>
      <c r="BM82" s="1018"/>
      <c r="BN82" s="1018"/>
      <c r="BO82" s="1018"/>
      <c r="BP82" s="1018"/>
      <c r="BQ82" s="1018"/>
      <c r="BR82" s="1018"/>
      <c r="BS82" s="1018"/>
      <c r="BT82" s="1018"/>
      <c r="BU82" s="1018"/>
      <c r="BV82" s="1018"/>
      <c r="BW82" s="1018"/>
      <c r="BX82" s="1018"/>
      <c r="BY82" s="1018"/>
      <c r="BZ82" s="1018"/>
      <c r="CA82" s="1018"/>
      <c r="CB82" s="1018"/>
      <c r="CC82" s="1018"/>
      <c r="CD82" s="1018"/>
      <c r="CE82" s="1018"/>
      <c r="CF82" s="1018"/>
      <c r="CG82" s="1018"/>
      <c r="CH82" s="1018"/>
      <c r="CI82" s="1018"/>
      <c r="CJ82" s="1018"/>
      <c r="CK82" s="1018"/>
      <c r="CL82" s="1018"/>
      <c r="CM82" s="1018"/>
      <c r="CN82" s="1018"/>
      <c r="CO82" s="1018"/>
      <c r="CP82" s="1018"/>
      <c r="CQ82" s="1018"/>
      <c r="CR82" s="1018"/>
      <c r="CS82" s="1018"/>
      <c r="CT82" s="1018"/>
      <c r="CU82" s="1018"/>
      <c r="CV82" s="1018"/>
      <c r="CW82" s="1018"/>
      <c r="CX82" s="1018"/>
      <c r="CY82" s="1018"/>
      <c r="CZ82" s="1018"/>
      <c r="DA82" s="1018"/>
      <c r="DB82" s="1018"/>
      <c r="DC82" s="1018"/>
      <c r="DD82" s="1018"/>
      <c r="DE82" s="1018"/>
      <c r="DF82" s="1018"/>
      <c r="DG82" s="1018"/>
      <c r="DH82" s="1018"/>
      <c r="DI82" s="1018"/>
      <c r="DJ82" s="1018"/>
      <c r="DK82" s="1018"/>
      <c r="DL82" s="1018"/>
      <c r="DM82" s="1018"/>
      <c r="DN82" s="1018"/>
      <c r="DO82" s="1018"/>
      <c r="DP82" s="1018"/>
      <c r="DQ82" s="1018"/>
      <c r="DR82" s="1018"/>
      <c r="DS82" s="1018"/>
      <c r="DT82" s="1018"/>
      <c r="DU82" s="1018"/>
      <c r="DV82" s="1018"/>
      <c r="DW82" s="1018"/>
      <c r="DX82" s="1018"/>
      <c r="DY82" s="1018"/>
      <c r="DZ82" s="1018"/>
      <c r="EA82" s="1018"/>
      <c r="EB82" s="1018"/>
      <c r="EC82" s="1018"/>
      <c r="ED82" s="1018"/>
      <c r="EE82" s="1018"/>
      <c r="EF82" s="1018"/>
      <c r="EG82" s="1018"/>
      <c r="EH82" s="1018"/>
      <c r="EI82" s="1018"/>
      <c r="EJ82" s="1018"/>
      <c r="EK82" s="1018"/>
      <c r="EL82" s="1018"/>
      <c r="EM82" s="1018"/>
      <c r="EN82" s="1018"/>
      <c r="EO82" s="1018"/>
      <c r="EP82" s="1018"/>
      <c r="EQ82" s="1018"/>
      <c r="ER82" s="1018"/>
      <c r="ES82" s="1018"/>
      <c r="ET82" s="1018"/>
      <c r="EU82" s="1018"/>
      <c r="EV82" s="1018"/>
      <c r="EW82" s="1018"/>
      <c r="EX82" s="1018"/>
      <c r="EY82" s="1018"/>
      <c r="EZ82" s="1018"/>
      <c r="FA82" s="1018"/>
      <c r="FB82" s="1018"/>
      <c r="FC82" s="1018"/>
      <c r="FD82" s="1018"/>
      <c r="FE82" s="1018"/>
      <c r="FF82" s="1018"/>
      <c r="FG82" s="1018"/>
      <c r="FH82" s="1018"/>
      <c r="FI82" s="1018"/>
      <c r="FJ82" s="1018"/>
      <c r="FK82" s="1018"/>
      <c r="FL82" s="1018"/>
      <c r="FM82" s="1018"/>
      <c r="FN82" s="1018"/>
      <c r="FO82" s="1018"/>
      <c r="FP82" s="1018"/>
      <c r="FQ82" s="1018"/>
      <c r="FR82" s="1018"/>
      <c r="FS82" s="1018"/>
      <c r="FT82" s="1018"/>
      <c r="FU82" s="1018"/>
      <c r="FV82" s="1018"/>
      <c r="FW82" s="1018"/>
      <c r="FX82" s="1018"/>
      <c r="FY82" s="1018"/>
      <c r="FZ82" s="1018"/>
      <c r="GA82" s="1018"/>
      <c r="GB82" s="1018"/>
      <c r="GC82" s="1018"/>
      <c r="GD82" s="1018"/>
      <c r="GE82" s="1018"/>
      <c r="GF82" s="1018"/>
      <c r="GG82" s="1018"/>
      <c r="GH82" s="1018"/>
      <c r="GI82" s="1018"/>
      <c r="GJ82" s="1018"/>
      <c r="GK82" s="1018"/>
      <c r="GL82" s="1018"/>
      <c r="GM82" s="1018"/>
      <c r="GN82" s="1018"/>
      <c r="GO82" s="1018"/>
      <c r="GP82" s="1018"/>
      <c r="GQ82" s="1018"/>
      <c r="GR82" s="1018"/>
      <c r="GS82" s="1018"/>
      <c r="GT82" s="1018"/>
      <c r="GU82" s="1018"/>
      <c r="GV82" s="1018"/>
      <c r="GW82" s="1018"/>
      <c r="GX82" s="1018"/>
      <c r="GY82" s="1018"/>
      <c r="GZ82" s="1018"/>
      <c r="HA82" s="1018"/>
    </row>
    <row r="83" spans="1:209" s="1019" customFormat="1" ht="45.75" customHeight="1">
      <c r="A83" s="962">
        <v>34</v>
      </c>
      <c r="B83" s="976" t="s">
        <v>1197</v>
      </c>
      <c r="C83" s="977" t="s">
        <v>873</v>
      </c>
      <c r="D83" s="978" t="s">
        <v>99</v>
      </c>
      <c r="E83" s="950">
        <v>1</v>
      </c>
      <c r="F83" s="958" t="s">
        <v>733</v>
      </c>
      <c r="G83" s="983">
        <v>5.82</v>
      </c>
      <c r="H83" s="984">
        <v>17697</v>
      </c>
      <c r="I83" s="955">
        <v>2</v>
      </c>
      <c r="J83" s="973"/>
      <c r="K83" s="958">
        <f t="shared" si="63"/>
        <v>205993.08000000002</v>
      </c>
      <c r="L83" s="973"/>
      <c r="M83" s="973"/>
      <c r="N83" s="973"/>
      <c r="O83" s="973"/>
      <c r="P83" s="973"/>
      <c r="Q83" s="973"/>
      <c r="R83" s="973"/>
      <c r="S83" s="973"/>
      <c r="T83" s="973"/>
      <c r="U83" s="973"/>
      <c r="V83" s="985">
        <v>30</v>
      </c>
      <c r="W83" s="979">
        <f t="shared" si="76"/>
        <v>5309.0999999999995</v>
      </c>
      <c r="X83" s="979"/>
      <c r="Y83" s="958">
        <v>75</v>
      </c>
      <c r="Z83" s="959">
        <f t="shared" ref="Z83:Z87" si="80">Y83*350%</f>
        <v>262.5</v>
      </c>
      <c r="AA83" s="959">
        <f t="shared" si="79"/>
        <v>540731.83500000008</v>
      </c>
      <c r="AB83" s="979"/>
      <c r="AC83" s="979"/>
      <c r="AD83" s="958">
        <f t="shared" si="70"/>
        <v>20599.308000000005</v>
      </c>
      <c r="AE83" s="958">
        <f t="shared" si="68"/>
        <v>772633.32300000009</v>
      </c>
      <c r="AF83" s="958">
        <f t="shared" si="64"/>
        <v>9271599.876000002</v>
      </c>
      <c r="AG83" s="958">
        <f t="shared" si="65"/>
        <v>205993.08000000002</v>
      </c>
      <c r="AH83" s="958">
        <f t="shared" si="69"/>
        <v>9477592.9560000021</v>
      </c>
      <c r="AI83" s="1016"/>
      <c r="AJ83" s="1016"/>
      <c r="AK83" s="1017"/>
      <c r="AL83" s="1017"/>
      <c r="AM83" s="1018"/>
      <c r="AN83" s="1018"/>
      <c r="AO83" s="1018"/>
      <c r="AP83" s="1018"/>
      <c r="AQ83" s="1018"/>
      <c r="AR83" s="1018"/>
      <c r="AS83" s="1018"/>
      <c r="AT83" s="1018"/>
      <c r="AU83" s="1018"/>
      <c r="AV83" s="1018"/>
      <c r="AW83" s="1018"/>
      <c r="AX83" s="1018"/>
      <c r="AY83" s="1018"/>
      <c r="AZ83" s="1018"/>
      <c r="BA83" s="1018"/>
      <c r="BB83" s="1018"/>
      <c r="BC83" s="1018"/>
      <c r="BD83" s="1018"/>
      <c r="BE83" s="1018"/>
      <c r="BF83" s="1018"/>
      <c r="BG83" s="1018"/>
      <c r="BH83" s="1018"/>
      <c r="BI83" s="1018"/>
      <c r="BJ83" s="1018"/>
      <c r="BK83" s="1018"/>
      <c r="BL83" s="1018"/>
      <c r="BM83" s="1018"/>
      <c r="BN83" s="1018"/>
      <c r="BO83" s="1018"/>
      <c r="BP83" s="1018"/>
      <c r="BQ83" s="1018"/>
      <c r="BR83" s="1018"/>
      <c r="BS83" s="1018"/>
      <c r="BT83" s="1018"/>
      <c r="BU83" s="1018"/>
      <c r="BV83" s="1018"/>
      <c r="BW83" s="1018"/>
      <c r="BX83" s="1018"/>
      <c r="BY83" s="1018"/>
      <c r="BZ83" s="1018"/>
      <c r="CA83" s="1018"/>
      <c r="CB83" s="1018"/>
      <c r="CC83" s="1018"/>
      <c r="CD83" s="1018"/>
      <c r="CE83" s="1018"/>
      <c r="CF83" s="1018"/>
      <c r="CG83" s="1018"/>
      <c r="CH83" s="1018"/>
      <c r="CI83" s="1018"/>
      <c r="CJ83" s="1018"/>
      <c r="CK83" s="1018"/>
      <c r="CL83" s="1018"/>
      <c r="CM83" s="1018"/>
      <c r="CN83" s="1018"/>
      <c r="CO83" s="1018"/>
      <c r="CP83" s="1018"/>
      <c r="CQ83" s="1018"/>
      <c r="CR83" s="1018"/>
      <c r="CS83" s="1018"/>
      <c r="CT83" s="1018"/>
      <c r="CU83" s="1018"/>
      <c r="CV83" s="1018"/>
      <c r="CW83" s="1018"/>
      <c r="CX83" s="1018"/>
      <c r="CY83" s="1018"/>
      <c r="CZ83" s="1018"/>
      <c r="DA83" s="1018"/>
      <c r="DB83" s="1018"/>
      <c r="DC83" s="1018"/>
      <c r="DD83" s="1018"/>
      <c r="DE83" s="1018"/>
      <c r="DF83" s="1018"/>
      <c r="DG83" s="1018"/>
      <c r="DH83" s="1018"/>
      <c r="DI83" s="1018"/>
      <c r="DJ83" s="1018"/>
      <c r="DK83" s="1018"/>
      <c r="DL83" s="1018"/>
      <c r="DM83" s="1018"/>
      <c r="DN83" s="1018"/>
      <c r="DO83" s="1018"/>
      <c r="DP83" s="1018"/>
      <c r="DQ83" s="1018"/>
      <c r="DR83" s="1018"/>
      <c r="DS83" s="1018"/>
      <c r="DT83" s="1018"/>
      <c r="DU83" s="1018"/>
      <c r="DV83" s="1018"/>
      <c r="DW83" s="1018"/>
      <c r="DX83" s="1018"/>
      <c r="DY83" s="1018"/>
      <c r="DZ83" s="1018"/>
      <c r="EA83" s="1018"/>
      <c r="EB83" s="1018"/>
      <c r="EC83" s="1018"/>
      <c r="ED83" s="1018"/>
      <c r="EE83" s="1018"/>
      <c r="EF83" s="1018"/>
      <c r="EG83" s="1018"/>
      <c r="EH83" s="1018"/>
      <c r="EI83" s="1018"/>
      <c r="EJ83" s="1018"/>
      <c r="EK83" s="1018"/>
      <c r="EL83" s="1018"/>
      <c r="EM83" s="1018"/>
      <c r="EN83" s="1018"/>
      <c r="EO83" s="1018"/>
      <c r="EP83" s="1018"/>
      <c r="EQ83" s="1018"/>
      <c r="ER83" s="1018"/>
      <c r="ES83" s="1018"/>
      <c r="ET83" s="1018"/>
      <c r="EU83" s="1018"/>
      <c r="EV83" s="1018"/>
      <c r="EW83" s="1018"/>
      <c r="EX83" s="1018"/>
      <c r="EY83" s="1018"/>
      <c r="EZ83" s="1018"/>
      <c r="FA83" s="1018"/>
      <c r="FB83" s="1018"/>
      <c r="FC83" s="1018"/>
      <c r="FD83" s="1018"/>
      <c r="FE83" s="1018"/>
      <c r="FF83" s="1018"/>
      <c r="FG83" s="1018"/>
      <c r="FH83" s="1018"/>
      <c r="FI83" s="1018"/>
      <c r="FJ83" s="1018"/>
      <c r="FK83" s="1018"/>
      <c r="FL83" s="1018"/>
      <c r="FM83" s="1018"/>
      <c r="FN83" s="1018"/>
      <c r="FO83" s="1018"/>
      <c r="FP83" s="1018"/>
      <c r="FQ83" s="1018"/>
      <c r="FR83" s="1018"/>
      <c r="FS83" s="1018"/>
      <c r="FT83" s="1018"/>
      <c r="FU83" s="1018"/>
      <c r="FV83" s="1018"/>
      <c r="FW83" s="1018"/>
      <c r="FX83" s="1018"/>
      <c r="FY83" s="1018"/>
      <c r="FZ83" s="1018"/>
      <c r="GA83" s="1018"/>
      <c r="GB83" s="1018"/>
      <c r="GC83" s="1018"/>
      <c r="GD83" s="1018"/>
      <c r="GE83" s="1018"/>
      <c r="GF83" s="1018"/>
      <c r="GG83" s="1018"/>
      <c r="GH83" s="1018"/>
      <c r="GI83" s="1018"/>
      <c r="GJ83" s="1018"/>
      <c r="GK83" s="1018"/>
      <c r="GL83" s="1018"/>
      <c r="GM83" s="1018"/>
      <c r="GN83" s="1018"/>
      <c r="GO83" s="1018"/>
      <c r="GP83" s="1018"/>
      <c r="GQ83" s="1018"/>
      <c r="GR83" s="1018"/>
      <c r="GS83" s="1018"/>
      <c r="GT83" s="1018"/>
      <c r="GU83" s="1018"/>
      <c r="GV83" s="1018"/>
      <c r="GW83" s="1018"/>
      <c r="GX83" s="1018"/>
      <c r="GY83" s="1018"/>
      <c r="GZ83" s="1018"/>
      <c r="HA83" s="1018"/>
    </row>
    <row r="84" spans="1:209" s="1019" customFormat="1" ht="40.5" customHeight="1">
      <c r="A84" s="962">
        <v>35</v>
      </c>
      <c r="B84" s="976" t="s">
        <v>1198</v>
      </c>
      <c r="C84" s="977" t="s">
        <v>754</v>
      </c>
      <c r="D84" s="978" t="s">
        <v>99</v>
      </c>
      <c r="E84" s="954">
        <v>1</v>
      </c>
      <c r="F84" s="955" t="s">
        <v>731</v>
      </c>
      <c r="G84" s="978">
        <v>6.33</v>
      </c>
      <c r="H84" s="984">
        <v>17697</v>
      </c>
      <c r="I84" s="955">
        <v>2</v>
      </c>
      <c r="J84" s="973"/>
      <c r="K84" s="958">
        <f t="shared" si="63"/>
        <v>224044.02</v>
      </c>
      <c r="L84" s="973"/>
      <c r="M84" s="973"/>
      <c r="N84" s="973"/>
      <c r="O84" s="973"/>
      <c r="P84" s="973"/>
      <c r="Q84" s="973"/>
      <c r="R84" s="973"/>
      <c r="S84" s="973"/>
      <c r="T84" s="973"/>
      <c r="U84" s="973"/>
      <c r="V84" s="985">
        <v>30</v>
      </c>
      <c r="W84" s="979">
        <f t="shared" si="76"/>
        <v>5309.0999999999995</v>
      </c>
      <c r="X84" s="979"/>
      <c r="Y84" s="958">
        <v>75</v>
      </c>
      <c r="Z84" s="959">
        <f t="shared" si="80"/>
        <v>262.5</v>
      </c>
      <c r="AA84" s="959">
        <f t="shared" si="79"/>
        <v>588115.55249999999</v>
      </c>
      <c r="AB84" s="979"/>
      <c r="AC84" s="979"/>
      <c r="AD84" s="958">
        <f t="shared" si="70"/>
        <v>22404.402000000002</v>
      </c>
      <c r="AE84" s="958">
        <f t="shared" si="68"/>
        <v>839873.07449999999</v>
      </c>
      <c r="AF84" s="958">
        <f t="shared" si="64"/>
        <v>10078476.893999999</v>
      </c>
      <c r="AG84" s="958">
        <f t="shared" si="65"/>
        <v>224044.02</v>
      </c>
      <c r="AH84" s="958">
        <f t="shared" si="69"/>
        <v>10302520.913999999</v>
      </c>
      <c r="AI84" s="1016"/>
      <c r="AJ84" s="1016"/>
      <c r="AK84" s="1017"/>
      <c r="AL84" s="1017"/>
      <c r="AM84" s="1018"/>
      <c r="AN84" s="1018"/>
      <c r="AO84" s="1018"/>
      <c r="AP84" s="1018"/>
      <c r="AQ84" s="1018"/>
      <c r="AR84" s="1018"/>
      <c r="AS84" s="1018"/>
      <c r="AT84" s="1018"/>
      <c r="AU84" s="1018"/>
      <c r="AV84" s="1018"/>
      <c r="AW84" s="1018"/>
      <c r="AX84" s="1018"/>
      <c r="AY84" s="1018"/>
      <c r="AZ84" s="1018"/>
      <c r="BA84" s="1018"/>
      <c r="BB84" s="1018"/>
      <c r="BC84" s="1018"/>
      <c r="BD84" s="1018"/>
      <c r="BE84" s="1018"/>
      <c r="BF84" s="1018"/>
      <c r="BG84" s="1018"/>
      <c r="BH84" s="1018"/>
      <c r="BI84" s="1018"/>
      <c r="BJ84" s="1018"/>
      <c r="BK84" s="1018"/>
      <c r="BL84" s="1018"/>
      <c r="BM84" s="1018"/>
      <c r="BN84" s="1018"/>
      <c r="BO84" s="1018"/>
      <c r="BP84" s="1018"/>
      <c r="BQ84" s="1018"/>
      <c r="BR84" s="1018"/>
      <c r="BS84" s="1018"/>
      <c r="BT84" s="1018"/>
      <c r="BU84" s="1018"/>
      <c r="BV84" s="1018"/>
      <c r="BW84" s="1018"/>
      <c r="BX84" s="1018"/>
      <c r="BY84" s="1018"/>
      <c r="BZ84" s="1018"/>
      <c r="CA84" s="1018"/>
      <c r="CB84" s="1018"/>
      <c r="CC84" s="1018"/>
      <c r="CD84" s="1018"/>
      <c r="CE84" s="1018"/>
      <c r="CF84" s="1018"/>
      <c r="CG84" s="1018"/>
      <c r="CH84" s="1018"/>
      <c r="CI84" s="1018"/>
      <c r="CJ84" s="1018"/>
      <c r="CK84" s="1018"/>
      <c r="CL84" s="1018"/>
      <c r="CM84" s="1018"/>
      <c r="CN84" s="1018"/>
      <c r="CO84" s="1018"/>
      <c r="CP84" s="1018"/>
      <c r="CQ84" s="1018"/>
      <c r="CR84" s="1018"/>
      <c r="CS84" s="1018"/>
      <c r="CT84" s="1018"/>
      <c r="CU84" s="1018"/>
      <c r="CV84" s="1018"/>
      <c r="CW84" s="1018"/>
      <c r="CX84" s="1018"/>
      <c r="CY84" s="1018"/>
      <c r="CZ84" s="1018"/>
      <c r="DA84" s="1018"/>
      <c r="DB84" s="1018"/>
      <c r="DC84" s="1018"/>
      <c r="DD84" s="1018"/>
      <c r="DE84" s="1018"/>
      <c r="DF84" s="1018"/>
      <c r="DG84" s="1018"/>
      <c r="DH84" s="1018"/>
      <c r="DI84" s="1018"/>
      <c r="DJ84" s="1018"/>
      <c r="DK84" s="1018"/>
      <c r="DL84" s="1018"/>
      <c r="DM84" s="1018"/>
      <c r="DN84" s="1018"/>
      <c r="DO84" s="1018"/>
      <c r="DP84" s="1018"/>
      <c r="DQ84" s="1018"/>
      <c r="DR84" s="1018"/>
      <c r="DS84" s="1018"/>
      <c r="DT84" s="1018"/>
      <c r="DU84" s="1018"/>
      <c r="DV84" s="1018"/>
      <c r="DW84" s="1018"/>
      <c r="DX84" s="1018"/>
      <c r="DY84" s="1018"/>
      <c r="DZ84" s="1018"/>
      <c r="EA84" s="1018"/>
      <c r="EB84" s="1018"/>
      <c r="EC84" s="1018"/>
      <c r="ED84" s="1018"/>
      <c r="EE84" s="1018"/>
      <c r="EF84" s="1018"/>
      <c r="EG84" s="1018"/>
      <c r="EH84" s="1018"/>
      <c r="EI84" s="1018"/>
      <c r="EJ84" s="1018"/>
      <c r="EK84" s="1018"/>
      <c r="EL84" s="1018"/>
      <c r="EM84" s="1018"/>
      <c r="EN84" s="1018"/>
      <c r="EO84" s="1018"/>
      <c r="EP84" s="1018"/>
      <c r="EQ84" s="1018"/>
      <c r="ER84" s="1018"/>
      <c r="ES84" s="1018"/>
      <c r="ET84" s="1018"/>
      <c r="EU84" s="1018"/>
      <c r="EV84" s="1018"/>
      <c r="EW84" s="1018"/>
      <c r="EX84" s="1018"/>
      <c r="EY84" s="1018"/>
      <c r="EZ84" s="1018"/>
      <c r="FA84" s="1018"/>
      <c r="FB84" s="1018"/>
      <c r="FC84" s="1018"/>
      <c r="FD84" s="1018"/>
      <c r="FE84" s="1018"/>
      <c r="FF84" s="1018"/>
      <c r="FG84" s="1018"/>
      <c r="FH84" s="1018"/>
      <c r="FI84" s="1018"/>
      <c r="FJ84" s="1018"/>
      <c r="FK84" s="1018"/>
      <c r="FL84" s="1018"/>
      <c r="FM84" s="1018"/>
      <c r="FN84" s="1018"/>
      <c r="FO84" s="1018"/>
      <c r="FP84" s="1018"/>
      <c r="FQ84" s="1018"/>
      <c r="FR84" s="1018"/>
      <c r="FS84" s="1018"/>
      <c r="FT84" s="1018"/>
      <c r="FU84" s="1018"/>
      <c r="FV84" s="1018"/>
      <c r="FW84" s="1018"/>
      <c r="FX84" s="1018"/>
      <c r="FY84" s="1018"/>
      <c r="FZ84" s="1018"/>
      <c r="GA84" s="1018"/>
      <c r="GB84" s="1018"/>
      <c r="GC84" s="1018"/>
      <c r="GD84" s="1018"/>
      <c r="GE84" s="1018"/>
      <c r="GF84" s="1018"/>
      <c r="GG84" s="1018"/>
      <c r="GH84" s="1018"/>
      <c r="GI84" s="1018"/>
      <c r="GJ84" s="1018"/>
      <c r="GK84" s="1018"/>
      <c r="GL84" s="1018"/>
      <c r="GM84" s="1018"/>
      <c r="GN84" s="1018"/>
      <c r="GO84" s="1018"/>
      <c r="GP84" s="1018"/>
      <c r="GQ84" s="1018"/>
      <c r="GR84" s="1018"/>
      <c r="GS84" s="1018"/>
      <c r="GT84" s="1018"/>
      <c r="GU84" s="1018"/>
      <c r="GV84" s="1018"/>
      <c r="GW84" s="1018"/>
      <c r="GX84" s="1018"/>
      <c r="GY84" s="1018"/>
      <c r="GZ84" s="1018"/>
      <c r="HA84" s="1018"/>
    </row>
    <row r="85" spans="1:209" s="1019" customFormat="1" ht="43.5" customHeight="1">
      <c r="A85" s="962">
        <v>36</v>
      </c>
      <c r="B85" s="976" t="s">
        <v>1199</v>
      </c>
      <c r="C85" s="952" t="s">
        <v>714</v>
      </c>
      <c r="D85" s="978" t="s">
        <v>99</v>
      </c>
      <c r="E85" s="950">
        <v>1</v>
      </c>
      <c r="F85" s="958" t="s">
        <v>76</v>
      </c>
      <c r="G85" s="978">
        <v>6.15</v>
      </c>
      <c r="H85" s="984">
        <v>17697</v>
      </c>
      <c r="I85" s="955">
        <v>2</v>
      </c>
      <c r="J85" s="973"/>
      <c r="K85" s="958">
        <f t="shared" si="63"/>
        <v>217673.1</v>
      </c>
      <c r="L85" s="973"/>
      <c r="M85" s="973"/>
      <c r="N85" s="973"/>
      <c r="O85" s="973"/>
      <c r="P85" s="973"/>
      <c r="Q85" s="973"/>
      <c r="R85" s="973"/>
      <c r="S85" s="973"/>
      <c r="T85" s="973"/>
      <c r="U85" s="973"/>
      <c r="V85" s="985">
        <v>30</v>
      </c>
      <c r="W85" s="979">
        <f t="shared" si="76"/>
        <v>5309.0999999999995</v>
      </c>
      <c r="X85" s="979"/>
      <c r="Y85" s="958">
        <v>75</v>
      </c>
      <c r="Z85" s="959">
        <f t="shared" si="80"/>
        <v>262.5</v>
      </c>
      <c r="AA85" s="959">
        <f t="shared" si="79"/>
        <v>571391.88750000007</v>
      </c>
      <c r="AB85" s="979"/>
      <c r="AC85" s="979"/>
      <c r="AD85" s="958">
        <f t="shared" si="70"/>
        <v>21767.31</v>
      </c>
      <c r="AE85" s="958">
        <f t="shared" si="68"/>
        <v>816141.3975000002</v>
      </c>
      <c r="AF85" s="958">
        <f t="shared" si="64"/>
        <v>9793696.7700000033</v>
      </c>
      <c r="AG85" s="958">
        <f t="shared" si="65"/>
        <v>217673.1</v>
      </c>
      <c r="AH85" s="958">
        <f t="shared" si="69"/>
        <v>10011369.870000003</v>
      </c>
      <c r="AI85" s="1016"/>
      <c r="AJ85" s="1016"/>
      <c r="AK85" s="1017"/>
      <c r="AL85" s="1017"/>
      <c r="AM85" s="1018"/>
      <c r="AN85" s="1018"/>
      <c r="AO85" s="1018"/>
      <c r="AP85" s="1018"/>
      <c r="AQ85" s="1018"/>
      <c r="AR85" s="1018"/>
      <c r="AS85" s="1018"/>
      <c r="AT85" s="1018"/>
      <c r="AU85" s="1018"/>
      <c r="AV85" s="1018"/>
      <c r="AW85" s="1018"/>
      <c r="AX85" s="1018"/>
      <c r="AY85" s="1018"/>
      <c r="AZ85" s="1018"/>
      <c r="BA85" s="1018"/>
      <c r="BB85" s="1018"/>
      <c r="BC85" s="1018"/>
      <c r="BD85" s="1018"/>
      <c r="BE85" s="1018"/>
      <c r="BF85" s="1018"/>
      <c r="BG85" s="1018"/>
      <c r="BH85" s="1018"/>
      <c r="BI85" s="1018"/>
      <c r="BJ85" s="1018"/>
      <c r="BK85" s="1018"/>
      <c r="BL85" s="1018"/>
      <c r="BM85" s="1018"/>
      <c r="BN85" s="1018"/>
      <c r="BO85" s="1018"/>
      <c r="BP85" s="1018"/>
      <c r="BQ85" s="1018"/>
      <c r="BR85" s="1018"/>
      <c r="BS85" s="1018"/>
      <c r="BT85" s="1018"/>
      <c r="BU85" s="1018"/>
      <c r="BV85" s="1018"/>
      <c r="BW85" s="1018"/>
      <c r="BX85" s="1018"/>
      <c r="BY85" s="1018"/>
      <c r="BZ85" s="1018"/>
      <c r="CA85" s="1018"/>
      <c r="CB85" s="1018"/>
      <c r="CC85" s="1018"/>
      <c r="CD85" s="1018"/>
      <c r="CE85" s="1018"/>
      <c r="CF85" s="1018"/>
      <c r="CG85" s="1018"/>
      <c r="CH85" s="1018"/>
      <c r="CI85" s="1018"/>
      <c r="CJ85" s="1018"/>
      <c r="CK85" s="1018"/>
      <c r="CL85" s="1018"/>
      <c r="CM85" s="1018"/>
      <c r="CN85" s="1018"/>
      <c r="CO85" s="1018"/>
      <c r="CP85" s="1018"/>
      <c r="CQ85" s="1018"/>
      <c r="CR85" s="1018"/>
      <c r="CS85" s="1018"/>
      <c r="CT85" s="1018"/>
      <c r="CU85" s="1018"/>
      <c r="CV85" s="1018"/>
      <c r="CW85" s="1018"/>
      <c r="CX85" s="1018"/>
      <c r="CY85" s="1018"/>
      <c r="CZ85" s="1018"/>
      <c r="DA85" s="1018"/>
      <c r="DB85" s="1018"/>
      <c r="DC85" s="1018"/>
      <c r="DD85" s="1018"/>
      <c r="DE85" s="1018"/>
      <c r="DF85" s="1018"/>
      <c r="DG85" s="1018"/>
      <c r="DH85" s="1018"/>
      <c r="DI85" s="1018"/>
      <c r="DJ85" s="1018"/>
      <c r="DK85" s="1018"/>
      <c r="DL85" s="1018"/>
      <c r="DM85" s="1018"/>
      <c r="DN85" s="1018"/>
      <c r="DO85" s="1018"/>
      <c r="DP85" s="1018"/>
      <c r="DQ85" s="1018"/>
      <c r="DR85" s="1018"/>
      <c r="DS85" s="1018"/>
      <c r="DT85" s="1018"/>
      <c r="DU85" s="1018"/>
      <c r="DV85" s="1018"/>
      <c r="DW85" s="1018"/>
      <c r="DX85" s="1018"/>
      <c r="DY85" s="1018"/>
      <c r="DZ85" s="1018"/>
      <c r="EA85" s="1018"/>
      <c r="EB85" s="1018"/>
      <c r="EC85" s="1018"/>
      <c r="ED85" s="1018"/>
      <c r="EE85" s="1018"/>
      <c r="EF85" s="1018"/>
      <c r="EG85" s="1018"/>
      <c r="EH85" s="1018"/>
      <c r="EI85" s="1018"/>
      <c r="EJ85" s="1018"/>
      <c r="EK85" s="1018"/>
      <c r="EL85" s="1018"/>
      <c r="EM85" s="1018"/>
      <c r="EN85" s="1018"/>
      <c r="EO85" s="1018"/>
      <c r="EP85" s="1018"/>
      <c r="EQ85" s="1018"/>
      <c r="ER85" s="1018"/>
      <c r="ES85" s="1018"/>
      <c r="ET85" s="1018"/>
      <c r="EU85" s="1018"/>
      <c r="EV85" s="1018"/>
      <c r="EW85" s="1018"/>
      <c r="EX85" s="1018"/>
      <c r="EY85" s="1018"/>
      <c r="EZ85" s="1018"/>
      <c r="FA85" s="1018"/>
      <c r="FB85" s="1018"/>
      <c r="FC85" s="1018"/>
      <c r="FD85" s="1018"/>
      <c r="FE85" s="1018"/>
      <c r="FF85" s="1018"/>
      <c r="FG85" s="1018"/>
      <c r="FH85" s="1018"/>
      <c r="FI85" s="1018"/>
      <c r="FJ85" s="1018"/>
      <c r="FK85" s="1018"/>
      <c r="FL85" s="1018"/>
      <c r="FM85" s="1018"/>
      <c r="FN85" s="1018"/>
      <c r="FO85" s="1018"/>
      <c r="FP85" s="1018"/>
      <c r="FQ85" s="1018"/>
      <c r="FR85" s="1018"/>
      <c r="FS85" s="1018"/>
      <c r="FT85" s="1018"/>
      <c r="FU85" s="1018"/>
      <c r="FV85" s="1018"/>
      <c r="FW85" s="1018"/>
      <c r="FX85" s="1018"/>
      <c r="FY85" s="1018"/>
      <c r="FZ85" s="1018"/>
      <c r="GA85" s="1018"/>
      <c r="GB85" s="1018"/>
      <c r="GC85" s="1018"/>
      <c r="GD85" s="1018"/>
      <c r="GE85" s="1018"/>
      <c r="GF85" s="1018"/>
      <c r="GG85" s="1018"/>
      <c r="GH85" s="1018"/>
      <c r="GI85" s="1018"/>
      <c r="GJ85" s="1018"/>
      <c r="GK85" s="1018"/>
      <c r="GL85" s="1018"/>
      <c r="GM85" s="1018"/>
      <c r="GN85" s="1018"/>
      <c r="GO85" s="1018"/>
      <c r="GP85" s="1018"/>
      <c r="GQ85" s="1018"/>
      <c r="GR85" s="1018"/>
      <c r="GS85" s="1018"/>
      <c r="GT85" s="1018"/>
      <c r="GU85" s="1018"/>
      <c r="GV85" s="1018"/>
      <c r="GW85" s="1018"/>
      <c r="GX85" s="1018"/>
      <c r="GY85" s="1018"/>
      <c r="GZ85" s="1018"/>
      <c r="HA85" s="1018"/>
    </row>
    <row r="86" spans="1:209" s="1019" customFormat="1" ht="39.75" customHeight="1">
      <c r="A86" s="962">
        <v>37</v>
      </c>
      <c r="B86" s="976" t="s">
        <v>1200</v>
      </c>
      <c r="C86" s="977" t="s">
        <v>755</v>
      </c>
      <c r="D86" s="978" t="s">
        <v>99</v>
      </c>
      <c r="E86" s="954">
        <v>1</v>
      </c>
      <c r="F86" s="958" t="s">
        <v>733</v>
      </c>
      <c r="G86" s="983">
        <v>5.82</v>
      </c>
      <c r="H86" s="984">
        <v>17697</v>
      </c>
      <c r="I86" s="955">
        <v>2</v>
      </c>
      <c r="J86" s="973"/>
      <c r="K86" s="958">
        <f t="shared" si="63"/>
        <v>205993.08000000002</v>
      </c>
      <c r="L86" s="973"/>
      <c r="M86" s="973"/>
      <c r="N86" s="973"/>
      <c r="O86" s="973"/>
      <c r="P86" s="973"/>
      <c r="Q86" s="973"/>
      <c r="R86" s="973"/>
      <c r="S86" s="973"/>
      <c r="T86" s="973"/>
      <c r="U86" s="973"/>
      <c r="V86" s="985">
        <v>30</v>
      </c>
      <c r="W86" s="979">
        <f>H86*V86%</f>
        <v>5309.0999999999995</v>
      </c>
      <c r="X86" s="979"/>
      <c r="Y86" s="958">
        <v>75</v>
      </c>
      <c r="Z86" s="959">
        <f t="shared" si="80"/>
        <v>262.5</v>
      </c>
      <c r="AA86" s="959">
        <f t="shared" si="79"/>
        <v>540731.83500000008</v>
      </c>
      <c r="AB86" s="979"/>
      <c r="AC86" s="979"/>
      <c r="AD86" s="958">
        <f t="shared" si="70"/>
        <v>20599.308000000005</v>
      </c>
      <c r="AE86" s="958">
        <f t="shared" si="68"/>
        <v>772633.32300000009</v>
      </c>
      <c r="AF86" s="958">
        <f t="shared" si="64"/>
        <v>9271599.876000002</v>
      </c>
      <c r="AG86" s="958">
        <f t="shared" si="65"/>
        <v>205993.08000000002</v>
      </c>
      <c r="AH86" s="958">
        <f t="shared" si="69"/>
        <v>9477592.9560000021</v>
      </c>
      <c r="AI86" s="1016"/>
      <c r="AJ86" s="1016"/>
      <c r="AK86" s="1017"/>
      <c r="AL86" s="1017"/>
      <c r="AM86" s="1018"/>
      <c r="AN86" s="1018"/>
      <c r="AO86" s="1018"/>
      <c r="AP86" s="1018"/>
      <c r="AQ86" s="1018"/>
      <c r="AR86" s="1018"/>
      <c r="AS86" s="1018"/>
      <c r="AT86" s="1018"/>
      <c r="AU86" s="1018"/>
      <c r="AV86" s="1018"/>
      <c r="AW86" s="1018"/>
      <c r="AX86" s="1018"/>
      <c r="AY86" s="1018"/>
      <c r="AZ86" s="1018"/>
      <c r="BA86" s="1018"/>
      <c r="BB86" s="1018"/>
      <c r="BC86" s="1018"/>
      <c r="BD86" s="1018"/>
      <c r="BE86" s="1018"/>
      <c r="BF86" s="1018"/>
      <c r="BG86" s="1018"/>
      <c r="BH86" s="1018"/>
      <c r="BI86" s="1018"/>
      <c r="BJ86" s="1018"/>
      <c r="BK86" s="1018"/>
      <c r="BL86" s="1018"/>
      <c r="BM86" s="1018"/>
      <c r="BN86" s="1018"/>
      <c r="BO86" s="1018"/>
      <c r="BP86" s="1018"/>
      <c r="BQ86" s="1018"/>
      <c r="BR86" s="1018"/>
      <c r="BS86" s="1018"/>
      <c r="BT86" s="1018"/>
      <c r="BU86" s="1018"/>
      <c r="BV86" s="1018"/>
      <c r="BW86" s="1018"/>
      <c r="BX86" s="1018"/>
      <c r="BY86" s="1018"/>
      <c r="BZ86" s="1018"/>
      <c r="CA86" s="1018"/>
      <c r="CB86" s="1018"/>
      <c r="CC86" s="1018"/>
      <c r="CD86" s="1018"/>
      <c r="CE86" s="1018"/>
      <c r="CF86" s="1018"/>
      <c r="CG86" s="1018"/>
      <c r="CH86" s="1018"/>
      <c r="CI86" s="1018"/>
      <c r="CJ86" s="1018"/>
      <c r="CK86" s="1018"/>
      <c r="CL86" s="1018"/>
      <c r="CM86" s="1018"/>
      <c r="CN86" s="1018"/>
      <c r="CO86" s="1018"/>
      <c r="CP86" s="1018"/>
      <c r="CQ86" s="1018"/>
      <c r="CR86" s="1018"/>
      <c r="CS86" s="1018"/>
      <c r="CT86" s="1018"/>
      <c r="CU86" s="1018"/>
      <c r="CV86" s="1018"/>
      <c r="CW86" s="1018"/>
      <c r="CX86" s="1018"/>
      <c r="CY86" s="1018"/>
      <c r="CZ86" s="1018"/>
      <c r="DA86" s="1018"/>
      <c r="DB86" s="1018"/>
      <c r="DC86" s="1018"/>
      <c r="DD86" s="1018"/>
      <c r="DE86" s="1018"/>
      <c r="DF86" s="1018"/>
      <c r="DG86" s="1018"/>
      <c r="DH86" s="1018"/>
      <c r="DI86" s="1018"/>
      <c r="DJ86" s="1018"/>
      <c r="DK86" s="1018"/>
      <c r="DL86" s="1018"/>
      <c r="DM86" s="1018"/>
      <c r="DN86" s="1018"/>
      <c r="DO86" s="1018"/>
      <c r="DP86" s="1018"/>
      <c r="DQ86" s="1018"/>
      <c r="DR86" s="1018"/>
      <c r="DS86" s="1018"/>
      <c r="DT86" s="1018"/>
      <c r="DU86" s="1018"/>
      <c r="DV86" s="1018"/>
      <c r="DW86" s="1018"/>
      <c r="DX86" s="1018"/>
      <c r="DY86" s="1018"/>
      <c r="DZ86" s="1018"/>
      <c r="EA86" s="1018"/>
      <c r="EB86" s="1018"/>
      <c r="EC86" s="1018"/>
      <c r="ED86" s="1018"/>
      <c r="EE86" s="1018"/>
      <c r="EF86" s="1018"/>
      <c r="EG86" s="1018"/>
      <c r="EH86" s="1018"/>
      <c r="EI86" s="1018"/>
      <c r="EJ86" s="1018"/>
      <c r="EK86" s="1018"/>
      <c r="EL86" s="1018"/>
      <c r="EM86" s="1018"/>
      <c r="EN86" s="1018"/>
      <c r="EO86" s="1018"/>
      <c r="EP86" s="1018"/>
      <c r="EQ86" s="1018"/>
      <c r="ER86" s="1018"/>
      <c r="ES86" s="1018"/>
      <c r="ET86" s="1018"/>
      <c r="EU86" s="1018"/>
      <c r="EV86" s="1018"/>
      <c r="EW86" s="1018"/>
      <c r="EX86" s="1018"/>
      <c r="EY86" s="1018"/>
      <c r="EZ86" s="1018"/>
      <c r="FA86" s="1018"/>
      <c r="FB86" s="1018"/>
      <c r="FC86" s="1018"/>
      <c r="FD86" s="1018"/>
      <c r="FE86" s="1018"/>
      <c r="FF86" s="1018"/>
      <c r="FG86" s="1018"/>
      <c r="FH86" s="1018"/>
      <c r="FI86" s="1018"/>
      <c r="FJ86" s="1018"/>
      <c r="FK86" s="1018"/>
      <c r="FL86" s="1018"/>
      <c r="FM86" s="1018"/>
      <c r="FN86" s="1018"/>
      <c r="FO86" s="1018"/>
      <c r="FP86" s="1018"/>
      <c r="FQ86" s="1018"/>
      <c r="FR86" s="1018"/>
      <c r="FS86" s="1018"/>
      <c r="FT86" s="1018"/>
      <c r="FU86" s="1018"/>
      <c r="FV86" s="1018"/>
      <c r="FW86" s="1018"/>
      <c r="FX86" s="1018"/>
      <c r="FY86" s="1018"/>
      <c r="FZ86" s="1018"/>
      <c r="GA86" s="1018"/>
      <c r="GB86" s="1018"/>
      <c r="GC86" s="1018"/>
      <c r="GD86" s="1018"/>
      <c r="GE86" s="1018"/>
      <c r="GF86" s="1018"/>
      <c r="GG86" s="1018"/>
      <c r="GH86" s="1018"/>
      <c r="GI86" s="1018"/>
      <c r="GJ86" s="1018"/>
      <c r="GK86" s="1018"/>
      <c r="GL86" s="1018"/>
      <c r="GM86" s="1018"/>
      <c r="GN86" s="1018"/>
      <c r="GO86" s="1018"/>
      <c r="GP86" s="1018"/>
      <c r="GQ86" s="1018"/>
      <c r="GR86" s="1018"/>
      <c r="GS86" s="1018"/>
      <c r="GT86" s="1018"/>
      <c r="GU86" s="1018"/>
      <c r="GV86" s="1018"/>
      <c r="GW86" s="1018"/>
      <c r="GX86" s="1018"/>
      <c r="GY86" s="1018"/>
      <c r="GZ86" s="1018"/>
      <c r="HA86" s="1018"/>
    </row>
    <row r="87" spans="1:209" s="1019" customFormat="1" ht="44.25" customHeight="1">
      <c r="A87" s="962">
        <v>38</v>
      </c>
      <c r="B87" s="976" t="s">
        <v>1201</v>
      </c>
      <c r="C87" s="977" t="s">
        <v>756</v>
      </c>
      <c r="D87" s="978" t="s">
        <v>99</v>
      </c>
      <c r="E87" s="950">
        <v>1</v>
      </c>
      <c r="F87" s="958" t="s">
        <v>76</v>
      </c>
      <c r="G87" s="978">
        <v>6.15</v>
      </c>
      <c r="H87" s="984">
        <v>17697</v>
      </c>
      <c r="I87" s="955">
        <v>2</v>
      </c>
      <c r="J87" s="973"/>
      <c r="K87" s="958">
        <f t="shared" si="63"/>
        <v>217673.1</v>
      </c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85">
        <v>30</v>
      </c>
      <c r="W87" s="979">
        <f t="shared" si="76"/>
        <v>5309.0999999999995</v>
      </c>
      <c r="X87" s="979"/>
      <c r="Y87" s="958">
        <v>75</v>
      </c>
      <c r="Z87" s="959">
        <f t="shared" si="80"/>
        <v>262.5</v>
      </c>
      <c r="AA87" s="959">
        <f t="shared" si="79"/>
        <v>571391.88750000007</v>
      </c>
      <c r="AB87" s="979"/>
      <c r="AC87" s="979"/>
      <c r="AD87" s="958">
        <f t="shared" si="70"/>
        <v>21767.31</v>
      </c>
      <c r="AE87" s="958">
        <f t="shared" si="68"/>
        <v>816141.3975000002</v>
      </c>
      <c r="AF87" s="958">
        <f t="shared" si="64"/>
        <v>9793696.7700000033</v>
      </c>
      <c r="AG87" s="958">
        <f t="shared" si="65"/>
        <v>217673.1</v>
      </c>
      <c r="AH87" s="958">
        <f t="shared" si="69"/>
        <v>10011369.870000003</v>
      </c>
      <c r="AI87" s="1016"/>
      <c r="AJ87" s="1016"/>
      <c r="AK87" s="1017"/>
      <c r="AL87" s="1017"/>
      <c r="AM87" s="1018"/>
      <c r="AN87" s="1018"/>
      <c r="AO87" s="1018"/>
      <c r="AP87" s="1018"/>
      <c r="AQ87" s="1018"/>
      <c r="AR87" s="1018"/>
      <c r="AS87" s="1018"/>
      <c r="AT87" s="1018"/>
      <c r="AU87" s="1018"/>
      <c r="AV87" s="1018"/>
      <c r="AW87" s="1018"/>
      <c r="AX87" s="1018"/>
      <c r="AY87" s="1018"/>
      <c r="AZ87" s="1018"/>
      <c r="BA87" s="1018"/>
      <c r="BB87" s="1018"/>
      <c r="BC87" s="1018"/>
      <c r="BD87" s="1018"/>
      <c r="BE87" s="1018"/>
      <c r="BF87" s="1018"/>
      <c r="BG87" s="1018"/>
      <c r="BH87" s="1018"/>
      <c r="BI87" s="1018"/>
      <c r="BJ87" s="1018"/>
      <c r="BK87" s="1018"/>
      <c r="BL87" s="1018"/>
      <c r="BM87" s="1018"/>
      <c r="BN87" s="1018"/>
      <c r="BO87" s="1018"/>
      <c r="BP87" s="1018"/>
      <c r="BQ87" s="1018"/>
      <c r="BR87" s="1018"/>
      <c r="BS87" s="1018"/>
      <c r="BT87" s="1018"/>
      <c r="BU87" s="1018"/>
      <c r="BV87" s="1018"/>
      <c r="BW87" s="1018"/>
      <c r="BX87" s="1018"/>
      <c r="BY87" s="1018"/>
      <c r="BZ87" s="1018"/>
      <c r="CA87" s="1018"/>
      <c r="CB87" s="1018"/>
      <c r="CC87" s="1018"/>
      <c r="CD87" s="1018"/>
      <c r="CE87" s="1018"/>
      <c r="CF87" s="1018"/>
      <c r="CG87" s="1018"/>
      <c r="CH87" s="1018"/>
      <c r="CI87" s="1018"/>
      <c r="CJ87" s="1018"/>
      <c r="CK87" s="1018"/>
      <c r="CL87" s="1018"/>
      <c r="CM87" s="1018"/>
      <c r="CN87" s="1018"/>
      <c r="CO87" s="1018"/>
      <c r="CP87" s="1018"/>
      <c r="CQ87" s="1018"/>
      <c r="CR87" s="1018"/>
      <c r="CS87" s="1018"/>
      <c r="CT87" s="1018"/>
      <c r="CU87" s="1018"/>
      <c r="CV87" s="1018"/>
      <c r="CW87" s="1018"/>
      <c r="CX87" s="1018"/>
      <c r="CY87" s="1018"/>
      <c r="CZ87" s="1018"/>
      <c r="DA87" s="1018"/>
      <c r="DB87" s="1018"/>
      <c r="DC87" s="1018"/>
      <c r="DD87" s="1018"/>
      <c r="DE87" s="1018"/>
      <c r="DF87" s="1018"/>
      <c r="DG87" s="1018"/>
      <c r="DH87" s="1018"/>
      <c r="DI87" s="1018"/>
      <c r="DJ87" s="1018"/>
      <c r="DK87" s="1018"/>
      <c r="DL87" s="1018"/>
      <c r="DM87" s="1018"/>
      <c r="DN87" s="1018"/>
      <c r="DO87" s="1018"/>
      <c r="DP87" s="1018"/>
      <c r="DQ87" s="1018"/>
      <c r="DR87" s="1018"/>
      <c r="DS87" s="1018"/>
      <c r="DT87" s="1018"/>
      <c r="DU87" s="1018"/>
      <c r="DV87" s="1018"/>
      <c r="DW87" s="1018"/>
      <c r="DX87" s="1018"/>
      <c r="DY87" s="1018"/>
      <c r="DZ87" s="1018"/>
      <c r="EA87" s="1018"/>
      <c r="EB87" s="1018"/>
      <c r="EC87" s="1018"/>
      <c r="ED87" s="1018"/>
      <c r="EE87" s="1018"/>
      <c r="EF87" s="1018"/>
      <c r="EG87" s="1018"/>
      <c r="EH87" s="1018"/>
      <c r="EI87" s="1018"/>
      <c r="EJ87" s="1018"/>
      <c r="EK87" s="1018"/>
      <c r="EL87" s="1018"/>
      <c r="EM87" s="1018"/>
      <c r="EN87" s="1018"/>
      <c r="EO87" s="1018"/>
      <c r="EP87" s="1018"/>
      <c r="EQ87" s="1018"/>
      <c r="ER87" s="1018"/>
      <c r="ES87" s="1018"/>
      <c r="ET87" s="1018"/>
      <c r="EU87" s="1018"/>
      <c r="EV87" s="1018"/>
      <c r="EW87" s="1018"/>
      <c r="EX87" s="1018"/>
      <c r="EY87" s="1018"/>
      <c r="EZ87" s="1018"/>
      <c r="FA87" s="1018"/>
      <c r="FB87" s="1018"/>
      <c r="FC87" s="1018"/>
      <c r="FD87" s="1018"/>
      <c r="FE87" s="1018"/>
      <c r="FF87" s="1018"/>
      <c r="FG87" s="1018"/>
      <c r="FH87" s="1018"/>
      <c r="FI87" s="1018"/>
      <c r="FJ87" s="1018"/>
      <c r="FK87" s="1018"/>
      <c r="FL87" s="1018"/>
      <c r="FM87" s="1018"/>
      <c r="FN87" s="1018"/>
      <c r="FO87" s="1018"/>
      <c r="FP87" s="1018"/>
      <c r="FQ87" s="1018"/>
      <c r="FR87" s="1018"/>
      <c r="FS87" s="1018"/>
      <c r="FT87" s="1018"/>
      <c r="FU87" s="1018"/>
      <c r="FV87" s="1018"/>
      <c r="FW87" s="1018"/>
      <c r="FX87" s="1018"/>
      <c r="FY87" s="1018"/>
      <c r="FZ87" s="1018"/>
      <c r="GA87" s="1018"/>
      <c r="GB87" s="1018"/>
      <c r="GC87" s="1018"/>
      <c r="GD87" s="1018"/>
      <c r="GE87" s="1018"/>
      <c r="GF87" s="1018"/>
      <c r="GG87" s="1018"/>
      <c r="GH87" s="1018"/>
      <c r="GI87" s="1018"/>
      <c r="GJ87" s="1018"/>
      <c r="GK87" s="1018"/>
      <c r="GL87" s="1018"/>
      <c r="GM87" s="1018"/>
      <c r="GN87" s="1018"/>
      <c r="GO87" s="1018"/>
      <c r="GP87" s="1018"/>
      <c r="GQ87" s="1018"/>
      <c r="GR87" s="1018"/>
      <c r="GS87" s="1018"/>
      <c r="GT87" s="1018"/>
      <c r="GU87" s="1018"/>
      <c r="GV87" s="1018"/>
      <c r="GW87" s="1018"/>
      <c r="GX87" s="1018"/>
      <c r="GY87" s="1018"/>
      <c r="GZ87" s="1018"/>
      <c r="HA87" s="1018"/>
    </row>
    <row r="88" spans="1:209" s="1019" customFormat="1" ht="38.25" customHeight="1">
      <c r="A88" s="962">
        <v>39</v>
      </c>
      <c r="B88" s="976" t="s">
        <v>1202</v>
      </c>
      <c r="C88" s="977" t="s">
        <v>757</v>
      </c>
      <c r="D88" s="986" t="s">
        <v>91</v>
      </c>
      <c r="E88" s="954">
        <v>1</v>
      </c>
      <c r="F88" s="958" t="s">
        <v>78</v>
      </c>
      <c r="G88" s="978">
        <v>5.0999999999999996</v>
      </c>
      <c r="H88" s="984">
        <v>17697</v>
      </c>
      <c r="I88" s="955">
        <v>2</v>
      </c>
      <c r="J88" s="973"/>
      <c r="K88" s="958">
        <f>H88*G88*E88*I88</f>
        <v>180509.4</v>
      </c>
      <c r="L88" s="973"/>
      <c r="M88" s="973"/>
      <c r="N88" s="973"/>
      <c r="O88" s="973"/>
      <c r="P88" s="973"/>
      <c r="Q88" s="973"/>
      <c r="R88" s="973"/>
      <c r="S88" s="973"/>
      <c r="T88" s="973"/>
      <c r="U88" s="973"/>
      <c r="V88" s="985">
        <v>30</v>
      </c>
      <c r="W88" s="979">
        <f t="shared" si="76"/>
        <v>5309.0999999999995</v>
      </c>
      <c r="X88" s="979"/>
      <c r="Y88" s="958"/>
      <c r="Z88" s="959"/>
      <c r="AA88" s="959"/>
      <c r="AB88" s="979">
        <v>220</v>
      </c>
      <c r="AC88" s="979">
        <f>K88*AB88%</f>
        <v>397120.68</v>
      </c>
      <c r="AD88" s="958">
        <f>K88*0.1</f>
        <v>18050.939999999999</v>
      </c>
      <c r="AE88" s="958">
        <f t="shared" si="68"/>
        <v>600990.12</v>
      </c>
      <c r="AF88" s="958">
        <f>AE88*12</f>
        <v>7211881.4399999995</v>
      </c>
      <c r="AG88" s="958">
        <f>K88</f>
        <v>180509.4</v>
      </c>
      <c r="AH88" s="958">
        <f t="shared" si="69"/>
        <v>7392390.8399999999</v>
      </c>
      <c r="AI88" s="1016"/>
      <c r="AJ88" s="1016"/>
      <c r="AK88" s="1017"/>
      <c r="AL88" s="1017"/>
      <c r="AM88" s="1018"/>
      <c r="AN88" s="1018"/>
      <c r="AO88" s="1018"/>
      <c r="AP88" s="1018"/>
      <c r="AQ88" s="1018"/>
      <c r="AR88" s="1018"/>
      <c r="AS88" s="1018"/>
      <c r="AT88" s="1018"/>
      <c r="AU88" s="1018"/>
      <c r="AV88" s="1018"/>
      <c r="AW88" s="1018"/>
      <c r="AX88" s="1018"/>
      <c r="AY88" s="1018"/>
      <c r="AZ88" s="1018"/>
      <c r="BA88" s="1018"/>
      <c r="BB88" s="1018"/>
      <c r="BC88" s="1018"/>
      <c r="BD88" s="1018"/>
      <c r="BE88" s="1018"/>
      <c r="BF88" s="1018"/>
      <c r="BG88" s="1018"/>
      <c r="BH88" s="1018"/>
      <c r="BI88" s="1018"/>
      <c r="BJ88" s="1018"/>
      <c r="BK88" s="1018"/>
      <c r="BL88" s="1018"/>
      <c r="BM88" s="1018"/>
      <c r="BN88" s="1018"/>
      <c r="BO88" s="1018"/>
      <c r="BP88" s="1018"/>
      <c r="BQ88" s="1018"/>
      <c r="BR88" s="1018"/>
      <c r="BS88" s="1018"/>
      <c r="BT88" s="1018"/>
      <c r="BU88" s="1018"/>
      <c r="BV88" s="1018"/>
      <c r="BW88" s="1018"/>
      <c r="BX88" s="1018"/>
      <c r="BY88" s="1018"/>
      <c r="BZ88" s="1018"/>
      <c r="CA88" s="1018"/>
      <c r="CB88" s="1018"/>
      <c r="CC88" s="1018"/>
      <c r="CD88" s="1018"/>
      <c r="CE88" s="1018"/>
      <c r="CF88" s="1018"/>
      <c r="CG88" s="1018"/>
      <c r="CH88" s="1018"/>
      <c r="CI88" s="1018"/>
      <c r="CJ88" s="1018"/>
      <c r="CK88" s="1018"/>
      <c r="CL88" s="1018"/>
      <c r="CM88" s="1018"/>
      <c r="CN88" s="1018"/>
      <c r="CO88" s="1018"/>
      <c r="CP88" s="1018"/>
      <c r="CQ88" s="1018"/>
      <c r="CR88" s="1018"/>
      <c r="CS88" s="1018"/>
      <c r="CT88" s="1018"/>
      <c r="CU88" s="1018"/>
      <c r="CV88" s="1018"/>
      <c r="CW88" s="1018"/>
      <c r="CX88" s="1018"/>
      <c r="CY88" s="1018"/>
      <c r="CZ88" s="1018"/>
      <c r="DA88" s="1018"/>
      <c r="DB88" s="1018"/>
      <c r="DC88" s="1018"/>
      <c r="DD88" s="1018"/>
      <c r="DE88" s="1018"/>
      <c r="DF88" s="1018"/>
      <c r="DG88" s="1018"/>
      <c r="DH88" s="1018"/>
      <c r="DI88" s="1018"/>
      <c r="DJ88" s="1018"/>
      <c r="DK88" s="1018"/>
      <c r="DL88" s="1018"/>
      <c r="DM88" s="1018"/>
      <c r="DN88" s="1018"/>
      <c r="DO88" s="1018"/>
      <c r="DP88" s="1018"/>
      <c r="DQ88" s="1018"/>
      <c r="DR88" s="1018"/>
      <c r="DS88" s="1018"/>
      <c r="DT88" s="1018"/>
      <c r="DU88" s="1018"/>
      <c r="DV88" s="1018"/>
      <c r="DW88" s="1018"/>
      <c r="DX88" s="1018"/>
      <c r="DY88" s="1018"/>
      <c r="DZ88" s="1018"/>
      <c r="EA88" s="1018"/>
      <c r="EB88" s="1018"/>
      <c r="EC88" s="1018"/>
      <c r="ED88" s="1018"/>
      <c r="EE88" s="1018"/>
      <c r="EF88" s="1018"/>
      <c r="EG88" s="1018"/>
      <c r="EH88" s="1018"/>
      <c r="EI88" s="1018"/>
      <c r="EJ88" s="1018"/>
      <c r="EK88" s="1018"/>
      <c r="EL88" s="1018"/>
      <c r="EM88" s="1018"/>
      <c r="EN88" s="1018"/>
      <c r="EO88" s="1018"/>
      <c r="EP88" s="1018"/>
      <c r="EQ88" s="1018"/>
      <c r="ER88" s="1018"/>
      <c r="ES88" s="1018"/>
      <c r="ET88" s="1018"/>
      <c r="EU88" s="1018"/>
      <c r="EV88" s="1018"/>
      <c r="EW88" s="1018"/>
      <c r="EX88" s="1018"/>
      <c r="EY88" s="1018"/>
      <c r="EZ88" s="1018"/>
      <c r="FA88" s="1018"/>
      <c r="FB88" s="1018"/>
      <c r="FC88" s="1018"/>
      <c r="FD88" s="1018"/>
      <c r="FE88" s="1018"/>
      <c r="FF88" s="1018"/>
      <c r="FG88" s="1018"/>
      <c r="FH88" s="1018"/>
      <c r="FI88" s="1018"/>
      <c r="FJ88" s="1018"/>
      <c r="FK88" s="1018"/>
      <c r="FL88" s="1018"/>
      <c r="FM88" s="1018"/>
      <c r="FN88" s="1018"/>
      <c r="FO88" s="1018"/>
      <c r="FP88" s="1018"/>
      <c r="FQ88" s="1018"/>
      <c r="FR88" s="1018"/>
      <c r="FS88" s="1018"/>
      <c r="FT88" s="1018"/>
      <c r="FU88" s="1018"/>
      <c r="FV88" s="1018"/>
      <c r="FW88" s="1018"/>
      <c r="FX88" s="1018"/>
      <c r="FY88" s="1018"/>
      <c r="FZ88" s="1018"/>
      <c r="GA88" s="1018"/>
      <c r="GB88" s="1018"/>
      <c r="GC88" s="1018"/>
      <c r="GD88" s="1018"/>
      <c r="GE88" s="1018"/>
      <c r="GF88" s="1018"/>
      <c r="GG88" s="1018"/>
      <c r="GH88" s="1018"/>
      <c r="GI88" s="1018"/>
      <c r="GJ88" s="1018"/>
      <c r="GK88" s="1018"/>
      <c r="GL88" s="1018"/>
      <c r="GM88" s="1018"/>
      <c r="GN88" s="1018"/>
      <c r="GO88" s="1018"/>
      <c r="GP88" s="1018"/>
      <c r="GQ88" s="1018"/>
      <c r="GR88" s="1018"/>
      <c r="GS88" s="1018"/>
      <c r="GT88" s="1018"/>
      <c r="GU88" s="1018"/>
      <c r="GV88" s="1018"/>
      <c r="GW88" s="1018"/>
      <c r="GX88" s="1018"/>
      <c r="GY88" s="1018"/>
      <c r="GZ88" s="1018"/>
      <c r="HA88" s="1018"/>
    </row>
    <row r="89" spans="1:209" s="1019" customFormat="1" ht="38.25" customHeight="1">
      <c r="A89" s="962">
        <v>40</v>
      </c>
      <c r="B89" s="976" t="s">
        <v>1203</v>
      </c>
      <c r="C89" s="977" t="s">
        <v>757</v>
      </c>
      <c r="D89" s="986" t="s">
        <v>91</v>
      </c>
      <c r="E89" s="954">
        <v>1</v>
      </c>
      <c r="F89" s="955" t="s">
        <v>731</v>
      </c>
      <c r="G89" s="978">
        <v>5.36</v>
      </c>
      <c r="H89" s="984">
        <v>17697</v>
      </c>
      <c r="I89" s="955">
        <v>2</v>
      </c>
      <c r="J89" s="973"/>
      <c r="K89" s="958">
        <f>H89*G89*E89*I89</f>
        <v>189711.84000000003</v>
      </c>
      <c r="L89" s="973"/>
      <c r="M89" s="973"/>
      <c r="N89" s="973"/>
      <c r="O89" s="973"/>
      <c r="P89" s="973"/>
      <c r="Q89" s="973"/>
      <c r="R89" s="973"/>
      <c r="S89" s="973"/>
      <c r="T89" s="973"/>
      <c r="U89" s="973"/>
      <c r="V89" s="985">
        <v>30</v>
      </c>
      <c r="W89" s="979">
        <f t="shared" si="76"/>
        <v>5309.0999999999995</v>
      </c>
      <c r="X89" s="979"/>
      <c r="Y89" s="958"/>
      <c r="Z89" s="959"/>
      <c r="AA89" s="959"/>
      <c r="AB89" s="979">
        <v>220</v>
      </c>
      <c r="AC89" s="979">
        <f>K89*AB89%</f>
        <v>417366.04800000007</v>
      </c>
      <c r="AD89" s="958">
        <f>K89*0.1</f>
        <v>18971.184000000005</v>
      </c>
      <c r="AE89" s="958">
        <f t="shared" si="68"/>
        <v>631358.17200000014</v>
      </c>
      <c r="AF89" s="958">
        <f>AE89*12</f>
        <v>7576298.0640000012</v>
      </c>
      <c r="AG89" s="958">
        <f>K89</f>
        <v>189711.84000000003</v>
      </c>
      <c r="AH89" s="958">
        <f t="shared" si="69"/>
        <v>7766009.904000001</v>
      </c>
      <c r="AI89" s="1016"/>
      <c r="AJ89" s="1016"/>
      <c r="AK89" s="1017"/>
      <c r="AL89" s="1017"/>
      <c r="AM89" s="1018"/>
      <c r="AN89" s="1018"/>
      <c r="AO89" s="1018"/>
      <c r="AP89" s="1018"/>
      <c r="AQ89" s="1018"/>
      <c r="AR89" s="1018"/>
      <c r="AS89" s="1018"/>
      <c r="AT89" s="1018"/>
      <c r="AU89" s="1018"/>
      <c r="AV89" s="1018"/>
      <c r="AW89" s="1018"/>
      <c r="AX89" s="1018"/>
      <c r="AY89" s="1018"/>
      <c r="AZ89" s="1018"/>
      <c r="BA89" s="1018"/>
      <c r="BB89" s="1018"/>
      <c r="BC89" s="1018"/>
      <c r="BD89" s="1018"/>
      <c r="BE89" s="1018"/>
      <c r="BF89" s="1018"/>
      <c r="BG89" s="1018"/>
      <c r="BH89" s="1018"/>
      <c r="BI89" s="1018"/>
      <c r="BJ89" s="1018"/>
      <c r="BK89" s="1018"/>
      <c r="BL89" s="1018"/>
      <c r="BM89" s="1018"/>
      <c r="BN89" s="1018"/>
      <c r="BO89" s="1018"/>
      <c r="BP89" s="1018"/>
      <c r="BQ89" s="1018"/>
      <c r="BR89" s="1018"/>
      <c r="BS89" s="1018"/>
      <c r="BT89" s="1018"/>
      <c r="BU89" s="1018"/>
      <c r="BV89" s="1018"/>
      <c r="BW89" s="1018"/>
      <c r="BX89" s="1018"/>
      <c r="BY89" s="1018"/>
      <c r="BZ89" s="1018"/>
      <c r="CA89" s="1018"/>
      <c r="CB89" s="1018"/>
      <c r="CC89" s="1018"/>
      <c r="CD89" s="1018"/>
      <c r="CE89" s="1018"/>
      <c r="CF89" s="1018"/>
      <c r="CG89" s="1018"/>
      <c r="CH89" s="1018"/>
      <c r="CI89" s="1018"/>
      <c r="CJ89" s="1018"/>
      <c r="CK89" s="1018"/>
      <c r="CL89" s="1018"/>
      <c r="CM89" s="1018"/>
      <c r="CN89" s="1018"/>
      <c r="CO89" s="1018"/>
      <c r="CP89" s="1018"/>
      <c r="CQ89" s="1018"/>
      <c r="CR89" s="1018"/>
      <c r="CS89" s="1018"/>
      <c r="CT89" s="1018"/>
      <c r="CU89" s="1018"/>
      <c r="CV89" s="1018"/>
      <c r="CW89" s="1018"/>
      <c r="CX89" s="1018"/>
      <c r="CY89" s="1018"/>
      <c r="CZ89" s="1018"/>
      <c r="DA89" s="1018"/>
      <c r="DB89" s="1018"/>
      <c r="DC89" s="1018"/>
      <c r="DD89" s="1018"/>
      <c r="DE89" s="1018"/>
      <c r="DF89" s="1018"/>
      <c r="DG89" s="1018"/>
      <c r="DH89" s="1018"/>
      <c r="DI89" s="1018"/>
      <c r="DJ89" s="1018"/>
      <c r="DK89" s="1018"/>
      <c r="DL89" s="1018"/>
      <c r="DM89" s="1018"/>
      <c r="DN89" s="1018"/>
      <c r="DO89" s="1018"/>
      <c r="DP89" s="1018"/>
      <c r="DQ89" s="1018"/>
      <c r="DR89" s="1018"/>
      <c r="DS89" s="1018"/>
      <c r="DT89" s="1018"/>
      <c r="DU89" s="1018"/>
      <c r="DV89" s="1018"/>
      <c r="DW89" s="1018"/>
      <c r="DX89" s="1018"/>
      <c r="DY89" s="1018"/>
      <c r="DZ89" s="1018"/>
      <c r="EA89" s="1018"/>
      <c r="EB89" s="1018"/>
      <c r="EC89" s="1018"/>
      <c r="ED89" s="1018"/>
      <c r="EE89" s="1018"/>
      <c r="EF89" s="1018"/>
      <c r="EG89" s="1018"/>
      <c r="EH89" s="1018"/>
      <c r="EI89" s="1018"/>
      <c r="EJ89" s="1018"/>
      <c r="EK89" s="1018"/>
      <c r="EL89" s="1018"/>
      <c r="EM89" s="1018"/>
      <c r="EN89" s="1018"/>
      <c r="EO89" s="1018"/>
      <c r="EP89" s="1018"/>
      <c r="EQ89" s="1018"/>
      <c r="ER89" s="1018"/>
      <c r="ES89" s="1018"/>
      <c r="ET89" s="1018"/>
      <c r="EU89" s="1018"/>
      <c r="EV89" s="1018"/>
      <c r="EW89" s="1018"/>
      <c r="EX89" s="1018"/>
      <c r="EY89" s="1018"/>
      <c r="EZ89" s="1018"/>
      <c r="FA89" s="1018"/>
      <c r="FB89" s="1018"/>
      <c r="FC89" s="1018"/>
      <c r="FD89" s="1018"/>
      <c r="FE89" s="1018"/>
      <c r="FF89" s="1018"/>
      <c r="FG89" s="1018"/>
      <c r="FH89" s="1018"/>
      <c r="FI89" s="1018"/>
      <c r="FJ89" s="1018"/>
      <c r="FK89" s="1018"/>
      <c r="FL89" s="1018"/>
      <c r="FM89" s="1018"/>
      <c r="FN89" s="1018"/>
      <c r="FO89" s="1018"/>
      <c r="FP89" s="1018"/>
      <c r="FQ89" s="1018"/>
      <c r="FR89" s="1018"/>
      <c r="FS89" s="1018"/>
      <c r="FT89" s="1018"/>
      <c r="FU89" s="1018"/>
      <c r="FV89" s="1018"/>
      <c r="FW89" s="1018"/>
      <c r="FX89" s="1018"/>
      <c r="FY89" s="1018"/>
      <c r="FZ89" s="1018"/>
      <c r="GA89" s="1018"/>
      <c r="GB89" s="1018"/>
      <c r="GC89" s="1018"/>
      <c r="GD89" s="1018"/>
      <c r="GE89" s="1018"/>
      <c r="GF89" s="1018"/>
      <c r="GG89" s="1018"/>
      <c r="GH89" s="1018"/>
      <c r="GI89" s="1018"/>
      <c r="GJ89" s="1018"/>
      <c r="GK89" s="1018"/>
      <c r="GL89" s="1018"/>
      <c r="GM89" s="1018"/>
      <c r="GN89" s="1018"/>
      <c r="GO89" s="1018"/>
      <c r="GP89" s="1018"/>
      <c r="GQ89" s="1018"/>
      <c r="GR89" s="1018"/>
      <c r="GS89" s="1018"/>
      <c r="GT89" s="1018"/>
      <c r="GU89" s="1018"/>
      <c r="GV89" s="1018"/>
      <c r="GW89" s="1018"/>
      <c r="GX89" s="1018"/>
      <c r="GY89" s="1018"/>
      <c r="GZ89" s="1018"/>
      <c r="HA89" s="1018"/>
    </row>
    <row r="90" spans="1:209" s="1003" customFormat="1" ht="30.75" customHeight="1">
      <c r="A90" s="962">
        <v>41</v>
      </c>
      <c r="B90" s="952" t="s">
        <v>763</v>
      </c>
      <c r="C90" s="952" t="s">
        <v>714</v>
      </c>
      <c r="D90" s="956" t="s">
        <v>601</v>
      </c>
      <c r="E90" s="959">
        <v>1</v>
      </c>
      <c r="F90" s="955" t="s">
        <v>76</v>
      </c>
      <c r="G90" s="950">
        <v>4.83</v>
      </c>
      <c r="H90" s="958">
        <v>17697</v>
      </c>
      <c r="I90" s="955">
        <v>2</v>
      </c>
      <c r="J90" s="950">
        <v>2.0499999999999998</v>
      </c>
      <c r="K90" s="958">
        <f>H90*G90*E90*I90</f>
        <v>170953.02</v>
      </c>
      <c r="L90" s="958">
        <v>1</v>
      </c>
      <c r="M90" s="950"/>
      <c r="N90" s="958"/>
      <c r="O90" s="958"/>
      <c r="P90" s="958"/>
      <c r="Q90" s="958"/>
      <c r="R90" s="958"/>
      <c r="S90" s="958"/>
      <c r="T90" s="958"/>
      <c r="U90" s="958"/>
      <c r="V90" s="958"/>
      <c r="W90" s="958"/>
      <c r="X90" s="958"/>
      <c r="Y90" s="958">
        <v>75</v>
      </c>
      <c r="Z90" s="959">
        <f>Y90*350%</f>
        <v>262.5</v>
      </c>
      <c r="AA90" s="959">
        <f>K90*Z90%</f>
        <v>448751.67749999999</v>
      </c>
      <c r="AB90" s="959"/>
      <c r="AC90" s="959"/>
      <c r="AD90" s="958">
        <f>K90*0.1</f>
        <v>17095.302</v>
      </c>
      <c r="AE90" s="958">
        <f t="shared" si="68"/>
        <v>636799.99950000003</v>
      </c>
      <c r="AF90" s="958">
        <f>AE90*12</f>
        <v>7641599.9940000009</v>
      </c>
      <c r="AG90" s="958">
        <f>K90</f>
        <v>170953.02</v>
      </c>
      <c r="AH90" s="958">
        <f t="shared" si="69"/>
        <v>7812553.0140000004</v>
      </c>
      <c r="AI90" s="1020"/>
      <c r="AJ90" s="1020"/>
      <c r="AK90" s="1014"/>
      <c r="AL90" s="1021"/>
      <c r="AM90" s="1013"/>
      <c r="AN90" s="1013"/>
      <c r="AO90" s="1013"/>
      <c r="AP90" s="1013"/>
      <c r="AQ90" s="1013"/>
      <c r="AR90" s="1013"/>
      <c r="AS90" s="1013"/>
      <c r="AT90" s="1013"/>
      <c r="AU90" s="1013"/>
      <c r="AV90" s="1013"/>
      <c r="AW90" s="1013"/>
      <c r="AX90" s="1013"/>
      <c r="AY90" s="1013"/>
      <c r="AZ90" s="1013"/>
      <c r="BA90" s="1013"/>
      <c r="BB90" s="1013"/>
      <c r="BC90" s="1013"/>
      <c r="BD90" s="1013"/>
      <c r="BE90" s="1013"/>
      <c r="BF90" s="1013"/>
      <c r="BG90" s="1013"/>
      <c r="BH90" s="1013"/>
      <c r="BI90" s="1013"/>
      <c r="BJ90" s="1013"/>
      <c r="BK90" s="1013"/>
      <c r="BL90" s="1013"/>
      <c r="BM90" s="1013"/>
      <c r="BN90" s="1013"/>
      <c r="BO90" s="1013"/>
      <c r="BP90" s="1013"/>
      <c r="BQ90" s="1013"/>
      <c r="BR90" s="1013"/>
      <c r="BS90" s="1013"/>
      <c r="BT90" s="1013"/>
      <c r="BU90" s="1013"/>
      <c r="BV90" s="1013"/>
      <c r="BW90" s="1013"/>
      <c r="BX90" s="1013"/>
      <c r="BY90" s="1013"/>
      <c r="BZ90" s="1013"/>
      <c r="CA90" s="1013"/>
      <c r="CB90" s="1013"/>
      <c r="CC90" s="1013"/>
      <c r="CD90" s="1013"/>
      <c r="CE90" s="1013"/>
      <c r="CF90" s="1013"/>
      <c r="CG90" s="1013"/>
      <c r="CH90" s="1013"/>
      <c r="CI90" s="1013"/>
      <c r="CJ90" s="1013"/>
      <c r="CK90" s="1013"/>
      <c r="CL90" s="1013"/>
      <c r="CM90" s="1013"/>
      <c r="CN90" s="1013"/>
      <c r="CO90" s="1013"/>
      <c r="CP90" s="1013"/>
      <c r="CQ90" s="1013"/>
      <c r="CR90" s="1013"/>
      <c r="CS90" s="1013"/>
      <c r="CT90" s="1013"/>
      <c r="CU90" s="1013"/>
      <c r="CV90" s="1013"/>
      <c r="CW90" s="1013"/>
      <c r="CX90" s="1013"/>
      <c r="CY90" s="1013"/>
      <c r="CZ90" s="1013"/>
      <c r="DA90" s="1013"/>
      <c r="DB90" s="1013"/>
      <c r="DC90" s="1013"/>
      <c r="DD90" s="1013"/>
      <c r="DE90" s="1013"/>
      <c r="DF90" s="1013"/>
      <c r="DG90" s="1013"/>
      <c r="DH90" s="1013"/>
      <c r="DI90" s="1013"/>
      <c r="DJ90" s="1013"/>
      <c r="DK90" s="1013"/>
      <c r="DL90" s="1013"/>
      <c r="DM90" s="1013"/>
      <c r="DN90" s="1013"/>
      <c r="DO90" s="1013"/>
      <c r="DP90" s="1013"/>
      <c r="DQ90" s="1013"/>
      <c r="DR90" s="1013"/>
      <c r="DS90" s="1013"/>
      <c r="DT90" s="1013"/>
      <c r="DU90" s="1013"/>
      <c r="DV90" s="1013"/>
      <c r="DW90" s="1013"/>
      <c r="DX90" s="1013"/>
      <c r="DY90" s="1013"/>
      <c r="DZ90" s="1013"/>
      <c r="EA90" s="1013"/>
      <c r="EB90" s="1013"/>
      <c r="EC90" s="1013"/>
      <c r="ED90" s="1013"/>
      <c r="EE90" s="1013"/>
      <c r="EF90" s="1013"/>
      <c r="EG90" s="1013"/>
      <c r="EH90" s="1013"/>
      <c r="EI90" s="1013"/>
      <c r="EJ90" s="1013"/>
      <c r="EK90" s="1013"/>
      <c r="EL90" s="1013"/>
      <c r="EM90" s="1013"/>
      <c r="EN90" s="1013"/>
      <c r="EO90" s="1013"/>
      <c r="EP90" s="1013"/>
      <c r="EQ90" s="1013"/>
      <c r="ER90" s="1013"/>
      <c r="ES90" s="1013"/>
      <c r="ET90" s="1013"/>
      <c r="EU90" s="1013"/>
      <c r="EV90" s="1013"/>
      <c r="EW90" s="1013"/>
      <c r="EX90" s="1013"/>
      <c r="EY90" s="1013"/>
      <c r="EZ90" s="1013"/>
      <c r="FA90" s="1013"/>
      <c r="FB90" s="1013"/>
      <c r="FC90" s="1013"/>
      <c r="FD90" s="1013"/>
      <c r="FE90" s="1013"/>
      <c r="FF90" s="1013"/>
      <c r="FG90" s="1013"/>
      <c r="FH90" s="1013"/>
      <c r="FI90" s="1013"/>
      <c r="FJ90" s="1013"/>
      <c r="FK90" s="1013"/>
      <c r="FL90" s="1013"/>
      <c r="FM90" s="1013"/>
      <c r="FN90" s="1013"/>
      <c r="FO90" s="1013"/>
      <c r="FP90" s="1013"/>
      <c r="FQ90" s="1013"/>
      <c r="FR90" s="1013"/>
      <c r="FS90" s="1013"/>
      <c r="FT90" s="1013"/>
      <c r="FU90" s="1013"/>
      <c r="FV90" s="1013"/>
      <c r="FW90" s="1013"/>
      <c r="FX90" s="1013"/>
      <c r="FY90" s="1013"/>
      <c r="FZ90" s="1013"/>
      <c r="GA90" s="1013"/>
      <c r="GB90" s="1013"/>
      <c r="GC90" s="1013"/>
      <c r="GD90" s="1013"/>
      <c r="GE90" s="1013"/>
      <c r="GF90" s="1013"/>
      <c r="GG90" s="1013"/>
      <c r="GH90" s="1013"/>
      <c r="GI90" s="1013"/>
      <c r="GJ90" s="1013"/>
      <c r="GK90" s="1013"/>
      <c r="GL90" s="1013"/>
      <c r="GM90" s="1013"/>
      <c r="GN90" s="1013"/>
      <c r="GO90" s="1013"/>
      <c r="GP90" s="1013"/>
      <c r="GQ90" s="1013"/>
      <c r="GR90" s="1013"/>
      <c r="GS90" s="1013"/>
      <c r="GT90" s="1013"/>
      <c r="GU90" s="1013"/>
      <c r="GV90" s="1013"/>
      <c r="GW90" s="1013"/>
      <c r="GX90" s="1013"/>
      <c r="GY90" s="1013"/>
      <c r="GZ90" s="1013"/>
      <c r="HA90" s="1013"/>
    </row>
    <row r="91" spans="1:209" s="1019" customFormat="1" ht="29.25" customHeight="1">
      <c r="A91" s="975"/>
      <c r="B91" s="989" t="s">
        <v>627</v>
      </c>
      <c r="C91" s="989"/>
      <c r="D91" s="990"/>
      <c r="E91" s="991">
        <f>SUM(E50:E90)</f>
        <v>37.5</v>
      </c>
      <c r="F91" s="992"/>
      <c r="G91" s="992"/>
      <c r="H91" s="990"/>
      <c r="I91" s="990"/>
      <c r="J91" s="990"/>
      <c r="K91" s="993">
        <f>SUM(K50:M90)</f>
        <v>7205688.4899999984</v>
      </c>
      <c r="L91" s="993">
        <f t="shared" ref="L91:X91" si="81">SUM(L50:N90)</f>
        <v>1</v>
      </c>
      <c r="M91" s="993">
        <f t="shared" si="81"/>
        <v>0</v>
      </c>
      <c r="N91" s="993">
        <f t="shared" si="81"/>
        <v>0</v>
      </c>
      <c r="O91" s="993">
        <f t="shared" si="81"/>
        <v>0</v>
      </c>
      <c r="P91" s="993">
        <f t="shared" si="81"/>
        <v>0</v>
      </c>
      <c r="Q91" s="993">
        <f t="shared" si="81"/>
        <v>0</v>
      </c>
      <c r="R91" s="993">
        <f t="shared" si="81"/>
        <v>0</v>
      </c>
      <c r="S91" s="993">
        <f t="shared" si="81"/>
        <v>0</v>
      </c>
      <c r="T91" s="993"/>
      <c r="U91" s="993"/>
      <c r="V91" s="993"/>
      <c r="W91" s="993">
        <f>SUM(W56:W90)</f>
        <v>180509.40000000011</v>
      </c>
      <c r="X91" s="993">
        <f t="shared" si="81"/>
        <v>8347.5</v>
      </c>
      <c r="Y91" s="993"/>
      <c r="Z91" s="993"/>
      <c r="AA91" s="993">
        <f>SUM(AA50:AA90)</f>
        <v>13490423.100000001</v>
      </c>
      <c r="AB91" s="993"/>
      <c r="AC91" s="993">
        <f t="shared" ref="AC91:AH91" si="82">SUM(AC50:AC90)</f>
        <v>2857322.2260000003</v>
      </c>
      <c r="AD91" s="993">
        <f t="shared" si="82"/>
        <v>720568.74899999995</v>
      </c>
      <c r="AE91" s="993">
        <f t="shared" si="82"/>
        <v>24454510.965</v>
      </c>
      <c r="AF91" s="993">
        <f t="shared" si="82"/>
        <v>293454131.58000004</v>
      </c>
      <c r="AG91" s="993">
        <f t="shared" si="82"/>
        <v>7205687.4899999984</v>
      </c>
      <c r="AH91" s="993">
        <f t="shared" si="82"/>
        <v>300659819.06999993</v>
      </c>
      <c r="AI91" s="1039"/>
      <c r="AJ91" s="1040"/>
      <c r="AK91" s="1017"/>
      <c r="AL91" s="1017"/>
      <c r="AM91" s="1018"/>
      <c r="AN91" s="1018"/>
      <c r="AO91" s="1018"/>
      <c r="AP91" s="1018"/>
      <c r="AQ91" s="1018"/>
      <c r="AR91" s="1018"/>
      <c r="AS91" s="1018"/>
      <c r="AT91" s="1018"/>
      <c r="AU91" s="1018"/>
      <c r="AV91" s="1018"/>
      <c r="AW91" s="1018"/>
      <c r="AX91" s="1018"/>
      <c r="AY91" s="1018"/>
      <c r="AZ91" s="1018"/>
      <c r="BA91" s="1018"/>
      <c r="BB91" s="1018"/>
      <c r="BC91" s="1018"/>
      <c r="BD91" s="1018"/>
      <c r="BE91" s="1018"/>
      <c r="BF91" s="1018"/>
      <c r="BG91" s="1018"/>
      <c r="BH91" s="1018"/>
      <c r="BI91" s="1018"/>
      <c r="BJ91" s="1018"/>
      <c r="BK91" s="1018"/>
      <c r="BL91" s="1018"/>
      <c r="BM91" s="1018"/>
      <c r="BN91" s="1018"/>
      <c r="BO91" s="1018"/>
      <c r="BP91" s="1018"/>
      <c r="BQ91" s="1018"/>
      <c r="BR91" s="1018"/>
      <c r="BS91" s="1018"/>
      <c r="BT91" s="1018"/>
      <c r="BU91" s="1018"/>
      <c r="BV91" s="1018"/>
      <c r="BW91" s="1018"/>
      <c r="BX91" s="1018"/>
      <c r="BY91" s="1018"/>
      <c r="BZ91" s="1018"/>
      <c r="CA91" s="1018"/>
      <c r="CB91" s="1018"/>
      <c r="CC91" s="1018"/>
      <c r="CD91" s="1018"/>
      <c r="CE91" s="1018"/>
      <c r="CF91" s="1018"/>
      <c r="CG91" s="1018"/>
      <c r="CH91" s="1018"/>
      <c r="CI91" s="1018"/>
      <c r="CJ91" s="1018"/>
      <c r="CK91" s="1018"/>
      <c r="CL91" s="1018"/>
      <c r="CM91" s="1018"/>
      <c r="CN91" s="1018"/>
      <c r="CO91" s="1018"/>
      <c r="CP91" s="1018"/>
      <c r="CQ91" s="1018"/>
      <c r="CR91" s="1018"/>
      <c r="CS91" s="1018"/>
      <c r="CT91" s="1018"/>
      <c r="CU91" s="1018"/>
      <c r="CV91" s="1018"/>
      <c r="CW91" s="1018"/>
      <c r="CX91" s="1018"/>
      <c r="CY91" s="1018"/>
      <c r="CZ91" s="1018"/>
      <c r="DA91" s="1018"/>
      <c r="DB91" s="1018"/>
      <c r="DC91" s="1018"/>
      <c r="DD91" s="1018"/>
      <c r="DE91" s="1018"/>
      <c r="DF91" s="1018"/>
      <c r="DG91" s="1018"/>
      <c r="DH91" s="1018"/>
      <c r="DI91" s="1018"/>
      <c r="DJ91" s="1018"/>
      <c r="DK91" s="1018"/>
      <c r="DL91" s="1018"/>
      <c r="DM91" s="1018"/>
      <c r="DN91" s="1018"/>
      <c r="DO91" s="1018"/>
      <c r="DP91" s="1018"/>
      <c r="DQ91" s="1018"/>
      <c r="DR91" s="1018"/>
      <c r="DS91" s="1018"/>
      <c r="DT91" s="1018"/>
      <c r="DU91" s="1018"/>
      <c r="DV91" s="1018"/>
      <c r="DW91" s="1018"/>
      <c r="DX91" s="1018"/>
      <c r="DY91" s="1018"/>
      <c r="DZ91" s="1018"/>
      <c r="EA91" s="1018"/>
      <c r="EB91" s="1018"/>
      <c r="EC91" s="1018"/>
      <c r="ED91" s="1018"/>
      <c r="EE91" s="1018"/>
      <c r="EF91" s="1018"/>
      <c r="EG91" s="1018"/>
      <c r="EH91" s="1018"/>
      <c r="EI91" s="1018"/>
      <c r="EJ91" s="1018"/>
      <c r="EK91" s="1018"/>
      <c r="EL91" s="1018"/>
      <c r="EM91" s="1018"/>
      <c r="EN91" s="1018"/>
      <c r="EO91" s="1018"/>
      <c r="EP91" s="1018"/>
      <c r="EQ91" s="1018"/>
      <c r="ER91" s="1018"/>
      <c r="ES91" s="1018"/>
      <c r="ET91" s="1018"/>
      <c r="EU91" s="1018"/>
      <c r="EV91" s="1018"/>
      <c r="EW91" s="1018"/>
      <c r="EX91" s="1018"/>
      <c r="EY91" s="1018"/>
      <c r="EZ91" s="1018"/>
      <c r="FA91" s="1018"/>
      <c r="FB91" s="1018"/>
      <c r="FC91" s="1018"/>
      <c r="FD91" s="1018"/>
      <c r="FE91" s="1018"/>
      <c r="FF91" s="1018"/>
      <c r="FG91" s="1018"/>
      <c r="FH91" s="1018"/>
      <c r="FI91" s="1018"/>
      <c r="FJ91" s="1018"/>
      <c r="FK91" s="1018"/>
      <c r="FL91" s="1018"/>
      <c r="FM91" s="1018"/>
      <c r="FN91" s="1018"/>
      <c r="FO91" s="1018"/>
      <c r="FP91" s="1018"/>
      <c r="FQ91" s="1018"/>
      <c r="FR91" s="1018"/>
      <c r="FS91" s="1018"/>
      <c r="FT91" s="1018"/>
      <c r="FU91" s="1018"/>
      <c r="FV91" s="1018"/>
      <c r="FW91" s="1018"/>
      <c r="FX91" s="1018"/>
      <c r="FY91" s="1018"/>
      <c r="FZ91" s="1018"/>
      <c r="GA91" s="1018"/>
      <c r="GB91" s="1018"/>
      <c r="GC91" s="1018"/>
      <c r="GD91" s="1018"/>
      <c r="GE91" s="1018"/>
      <c r="GF91" s="1018"/>
      <c r="GG91" s="1018"/>
      <c r="GH91" s="1018"/>
      <c r="GI91" s="1018"/>
      <c r="GJ91" s="1018"/>
      <c r="GK91" s="1018"/>
      <c r="GL91" s="1018"/>
      <c r="GM91" s="1018"/>
      <c r="GN91" s="1018"/>
      <c r="GO91" s="1018"/>
      <c r="GP91" s="1018"/>
      <c r="GQ91" s="1018"/>
      <c r="GR91" s="1018"/>
      <c r="GS91" s="1018"/>
      <c r="GT91" s="1018"/>
      <c r="GU91" s="1018"/>
      <c r="GV91" s="1018"/>
      <c r="GW91" s="1018"/>
      <c r="GX91" s="1018"/>
      <c r="GY91" s="1018"/>
      <c r="GZ91" s="1018"/>
      <c r="HA91" s="1018"/>
    </row>
    <row r="92" spans="1:209" s="1015" customFormat="1" ht="30.75" customHeight="1">
      <c r="A92" s="966"/>
      <c r="B92" s="967"/>
      <c r="C92" s="964"/>
      <c r="D92" s="963"/>
      <c r="E92" s="950"/>
      <c r="F92" s="963"/>
      <c r="G92" s="963"/>
      <c r="H92" s="963"/>
      <c r="I92" s="963"/>
      <c r="J92" s="963"/>
      <c r="K92" s="963"/>
      <c r="L92" s="963"/>
      <c r="M92" s="963"/>
      <c r="N92" s="963"/>
      <c r="O92" s="963"/>
      <c r="P92" s="963"/>
      <c r="Q92" s="966" t="s">
        <v>1204</v>
      </c>
      <c r="R92" s="963"/>
      <c r="S92" s="963"/>
      <c r="T92" s="963"/>
      <c r="U92" s="963"/>
      <c r="V92" s="963"/>
      <c r="W92" s="963"/>
      <c r="X92" s="963"/>
      <c r="Y92" s="963"/>
      <c r="Z92" s="963"/>
      <c r="AA92" s="963"/>
      <c r="AB92" s="963"/>
      <c r="AC92" s="963"/>
      <c r="AD92" s="963"/>
      <c r="AE92" s="963"/>
      <c r="AF92" s="963"/>
      <c r="AG92" s="963"/>
      <c r="AH92" s="963"/>
      <c r="AI92" s="1013"/>
      <c r="AJ92" s="1013"/>
      <c r="AK92" s="1014"/>
      <c r="AL92" s="1014"/>
      <c r="AM92" s="1003"/>
      <c r="AN92" s="1003"/>
      <c r="AO92" s="1003"/>
      <c r="AP92" s="1003"/>
      <c r="AQ92" s="1003"/>
      <c r="AR92" s="1003"/>
      <c r="AS92" s="1003"/>
      <c r="AT92" s="1003"/>
      <c r="AU92" s="1003"/>
      <c r="AV92" s="1003"/>
      <c r="AW92" s="1003"/>
      <c r="AX92" s="1003"/>
      <c r="AY92" s="1003"/>
      <c r="AZ92" s="1003"/>
      <c r="BA92" s="1003"/>
      <c r="BB92" s="1003"/>
      <c r="BC92" s="1003"/>
      <c r="BD92" s="1003"/>
      <c r="BE92" s="1003"/>
      <c r="BF92" s="1003"/>
      <c r="BG92" s="1003"/>
      <c r="BH92" s="1003"/>
      <c r="BI92" s="1003"/>
      <c r="BJ92" s="1003"/>
      <c r="BK92" s="1003"/>
      <c r="BL92" s="1003"/>
      <c r="BM92" s="1003"/>
      <c r="BN92" s="1003"/>
      <c r="BO92" s="1003"/>
      <c r="BP92" s="1003"/>
      <c r="BQ92" s="1003"/>
      <c r="BR92" s="1003"/>
      <c r="BS92" s="1003"/>
      <c r="BT92" s="1003"/>
      <c r="BU92" s="1003"/>
      <c r="BV92" s="1003"/>
      <c r="BW92" s="1003"/>
      <c r="BX92" s="1003"/>
      <c r="BY92" s="1003"/>
      <c r="BZ92" s="1003"/>
      <c r="CA92" s="1003"/>
      <c r="CB92" s="1003"/>
      <c r="CC92" s="1003"/>
      <c r="CD92" s="1003"/>
      <c r="CE92" s="1003"/>
      <c r="CF92" s="1003"/>
      <c r="CG92" s="1003"/>
      <c r="CH92" s="1003"/>
      <c r="CI92" s="1003"/>
      <c r="CJ92" s="1003"/>
      <c r="CK92" s="1003"/>
      <c r="CL92" s="1003"/>
      <c r="CM92" s="1003"/>
      <c r="CN92" s="1003"/>
      <c r="CO92" s="1003"/>
      <c r="CP92" s="1003"/>
      <c r="CQ92" s="1003"/>
      <c r="CR92" s="1003"/>
      <c r="CS92" s="1003"/>
      <c r="CT92" s="1003"/>
      <c r="CU92" s="1003"/>
      <c r="CV92" s="1003"/>
      <c r="CW92" s="1003"/>
      <c r="CX92" s="1003"/>
      <c r="CY92" s="1003"/>
      <c r="CZ92" s="1003"/>
      <c r="DA92" s="1003"/>
      <c r="DB92" s="1003"/>
      <c r="DC92" s="1003"/>
      <c r="DD92" s="1003"/>
      <c r="DE92" s="1003"/>
      <c r="DF92" s="1003"/>
      <c r="DG92" s="1003"/>
      <c r="DH92" s="1003"/>
      <c r="DI92" s="1003"/>
      <c r="DJ92" s="1003"/>
      <c r="DK92" s="1003"/>
      <c r="DL92" s="1003"/>
      <c r="DM92" s="1003"/>
      <c r="DN92" s="1003"/>
      <c r="DO92" s="1003"/>
      <c r="DP92" s="1003"/>
      <c r="DQ92" s="1003"/>
      <c r="DR92" s="1003"/>
      <c r="DS92" s="1003"/>
      <c r="DT92" s="1003"/>
      <c r="DU92" s="1003"/>
      <c r="DV92" s="1003"/>
      <c r="DW92" s="1003"/>
      <c r="DX92" s="1003"/>
      <c r="DY92" s="1003"/>
      <c r="DZ92" s="1003"/>
      <c r="EA92" s="1003"/>
      <c r="EB92" s="1003"/>
      <c r="EC92" s="1003"/>
      <c r="ED92" s="1003"/>
      <c r="EE92" s="1003"/>
      <c r="EF92" s="1003"/>
      <c r="EG92" s="1003"/>
      <c r="EH92" s="1003"/>
      <c r="EI92" s="1003"/>
      <c r="EJ92" s="1003"/>
      <c r="EK92" s="1003"/>
      <c r="EL92" s="1003"/>
      <c r="EM92" s="1003"/>
      <c r="EN92" s="1003"/>
      <c r="EO92" s="1003"/>
      <c r="EP92" s="1003"/>
      <c r="EQ92" s="1003"/>
      <c r="ER92" s="1003"/>
      <c r="ES92" s="1003"/>
      <c r="ET92" s="1003"/>
      <c r="EU92" s="1003"/>
      <c r="EV92" s="1003"/>
      <c r="EW92" s="1003"/>
      <c r="EX92" s="1003"/>
      <c r="EY92" s="1003"/>
      <c r="EZ92" s="1003"/>
      <c r="FA92" s="1003"/>
      <c r="FB92" s="1003"/>
      <c r="FC92" s="1003"/>
      <c r="FD92" s="1003"/>
      <c r="FE92" s="1003"/>
      <c r="FF92" s="1003"/>
      <c r="FG92" s="1003"/>
      <c r="FH92" s="1003"/>
      <c r="FI92" s="1003"/>
      <c r="FJ92" s="1003"/>
      <c r="FK92" s="1003"/>
      <c r="FL92" s="1003"/>
      <c r="FM92" s="1003"/>
      <c r="FN92" s="1003"/>
      <c r="FO92" s="1003"/>
      <c r="FP92" s="1003"/>
      <c r="FQ92" s="1003"/>
      <c r="FR92" s="1003"/>
      <c r="FS92" s="1003"/>
      <c r="FT92" s="1003"/>
      <c r="FU92" s="1003"/>
      <c r="FV92" s="1003"/>
      <c r="FW92" s="1003"/>
      <c r="FX92" s="1003"/>
      <c r="FY92" s="1003"/>
      <c r="FZ92" s="1003"/>
      <c r="GA92" s="1003"/>
      <c r="GB92" s="1003"/>
      <c r="GC92" s="1003"/>
      <c r="GD92" s="1003"/>
      <c r="GE92" s="1003"/>
      <c r="GF92" s="1003"/>
      <c r="GG92" s="1003"/>
      <c r="GH92" s="1003"/>
      <c r="GI92" s="1003"/>
      <c r="GJ92" s="1003"/>
      <c r="GK92" s="1003"/>
      <c r="GL92" s="1003"/>
      <c r="GM92" s="1003"/>
      <c r="GN92" s="1003"/>
      <c r="GO92" s="1003"/>
      <c r="GP92" s="1003"/>
      <c r="GQ92" s="1003"/>
      <c r="GR92" s="1003"/>
      <c r="GS92" s="1003"/>
      <c r="GT92" s="1003"/>
      <c r="GU92" s="1003"/>
      <c r="GV92" s="1003"/>
      <c r="GW92" s="1003"/>
      <c r="GX92" s="1003"/>
      <c r="GY92" s="1003"/>
      <c r="GZ92" s="1003"/>
      <c r="HA92" s="1003"/>
    </row>
    <row r="93" spans="1:209" s="1003" customFormat="1" ht="42" customHeight="1">
      <c r="A93" s="950">
        <v>1</v>
      </c>
      <c r="B93" s="952" t="s">
        <v>758</v>
      </c>
      <c r="C93" s="952" t="s">
        <v>714</v>
      </c>
      <c r="D93" s="956" t="s">
        <v>601</v>
      </c>
      <c r="E93" s="959">
        <v>1</v>
      </c>
      <c r="F93" s="955" t="s">
        <v>817</v>
      </c>
      <c r="G93" s="950">
        <v>4.78</v>
      </c>
      <c r="H93" s="958">
        <v>17697</v>
      </c>
      <c r="I93" s="950">
        <v>3.42</v>
      </c>
      <c r="J93" s="950">
        <v>2.0499999999999998</v>
      </c>
      <c r="K93" s="958">
        <f t="shared" ref="K93:K98" si="83">H93*G93*E93*I93</f>
        <v>289303.47720000002</v>
      </c>
      <c r="L93" s="958">
        <v>1</v>
      </c>
      <c r="M93" s="950"/>
      <c r="N93" s="958">
        <f>K93/164*0.5*58</f>
        <v>51157.322187804886</v>
      </c>
      <c r="O93" s="958">
        <f t="shared" ref="O93:O96" si="84">K93/164*0.5*2.67</f>
        <v>2355.0008662317073</v>
      </c>
      <c r="P93" s="958"/>
      <c r="Q93" s="958"/>
      <c r="R93" s="958"/>
      <c r="S93" s="958"/>
      <c r="T93" s="958"/>
      <c r="U93" s="958"/>
      <c r="V93" s="958"/>
      <c r="W93" s="958"/>
      <c r="X93" s="958"/>
      <c r="Y93" s="958">
        <v>18</v>
      </c>
      <c r="Z93" s="959">
        <f>Y93*350%</f>
        <v>63</v>
      </c>
      <c r="AA93" s="959">
        <f t="shared" ref="AA93:AA95" si="85">K93*Z93%</f>
        <v>182261.19063600001</v>
      </c>
      <c r="AB93" s="959"/>
      <c r="AC93" s="959"/>
      <c r="AD93" s="958">
        <f t="shared" ref="AD93:AD98" si="86">K93*0.1</f>
        <v>28930.347720000005</v>
      </c>
      <c r="AE93" s="958">
        <f t="shared" ref="AE93:AE98" si="87">K93+N93+O93+Q93+S93+U93+W93+X93+AA93+AD93+AC93</f>
        <v>554007.33861003653</v>
      </c>
      <c r="AF93" s="958">
        <f t="shared" ref="AF93:AF98" si="88">AE93*12</f>
        <v>6648088.0633204384</v>
      </c>
      <c r="AG93" s="958">
        <f t="shared" ref="AG93:AG98" si="89">K93</f>
        <v>289303.47720000002</v>
      </c>
      <c r="AH93" s="958">
        <f t="shared" ref="AH93:AH98" si="90">AE93*12+AG93</f>
        <v>6937391.540520438</v>
      </c>
      <c r="AI93" s="1022">
        <v>6283565.68204844</v>
      </c>
      <c r="AJ93" s="1022">
        <f>AF93-AI93</f>
        <v>364522.3812719984</v>
      </c>
      <c r="AK93" s="1021"/>
      <c r="AL93" s="1021"/>
      <c r="AM93" s="1013"/>
      <c r="AN93" s="1013"/>
      <c r="AO93" s="1013"/>
      <c r="AP93" s="1013"/>
      <c r="AQ93" s="1013"/>
      <c r="AR93" s="1013"/>
      <c r="AS93" s="1013"/>
      <c r="AT93" s="1013"/>
      <c r="AU93" s="1013"/>
      <c r="AV93" s="1013"/>
      <c r="AW93" s="1013"/>
      <c r="AX93" s="1013"/>
      <c r="AY93" s="1013"/>
      <c r="AZ93" s="1013"/>
      <c r="BA93" s="1013"/>
      <c r="BB93" s="1013"/>
      <c r="BC93" s="1013"/>
      <c r="BD93" s="1013"/>
      <c r="BE93" s="1013"/>
      <c r="BF93" s="1013"/>
      <c r="BG93" s="1013"/>
      <c r="BH93" s="1013"/>
      <c r="BI93" s="1013"/>
      <c r="BJ93" s="1013"/>
      <c r="BK93" s="1013"/>
      <c r="BL93" s="1013"/>
      <c r="BM93" s="1013"/>
      <c r="BN93" s="1013"/>
      <c r="BO93" s="1013"/>
      <c r="BP93" s="1013"/>
      <c r="BQ93" s="1013"/>
      <c r="BR93" s="1013"/>
      <c r="BS93" s="1013"/>
      <c r="BT93" s="1013"/>
      <c r="BU93" s="1013"/>
      <c r="BV93" s="1013"/>
      <c r="BW93" s="1013"/>
      <c r="BX93" s="1013"/>
      <c r="BY93" s="1013"/>
      <c r="BZ93" s="1013"/>
      <c r="CA93" s="1013"/>
      <c r="CB93" s="1013"/>
      <c r="CC93" s="1013"/>
      <c r="CD93" s="1013"/>
      <c r="CE93" s="1013"/>
      <c r="CF93" s="1013"/>
      <c r="CG93" s="1013"/>
      <c r="CH93" s="1013"/>
      <c r="CI93" s="1013"/>
      <c r="CJ93" s="1013"/>
      <c r="CK93" s="1013"/>
      <c r="CL93" s="1013"/>
      <c r="CM93" s="1013"/>
      <c r="CN93" s="1013"/>
      <c r="CO93" s="1013"/>
      <c r="CP93" s="1013"/>
      <c r="CQ93" s="1013"/>
      <c r="CR93" s="1013"/>
      <c r="CS93" s="1013"/>
      <c r="CT93" s="1013"/>
      <c r="CU93" s="1013"/>
      <c r="CV93" s="1013"/>
      <c r="CW93" s="1013"/>
      <c r="CX93" s="1013"/>
      <c r="CY93" s="1013"/>
      <c r="CZ93" s="1013"/>
      <c r="DA93" s="1013"/>
      <c r="DB93" s="1013"/>
      <c r="DC93" s="1013"/>
      <c r="DD93" s="1013"/>
      <c r="DE93" s="1013"/>
      <c r="DF93" s="1013"/>
      <c r="DG93" s="1013"/>
      <c r="DH93" s="1013"/>
      <c r="DI93" s="1013"/>
      <c r="DJ93" s="1013"/>
      <c r="DK93" s="1013"/>
      <c r="DL93" s="1013"/>
      <c r="DM93" s="1013"/>
      <c r="DN93" s="1013"/>
      <c r="DO93" s="1013"/>
      <c r="DP93" s="1013"/>
      <c r="DQ93" s="1013"/>
      <c r="DR93" s="1013"/>
      <c r="DS93" s="1013"/>
      <c r="DT93" s="1013"/>
      <c r="DU93" s="1013"/>
      <c r="DV93" s="1013"/>
      <c r="DW93" s="1013"/>
      <c r="DX93" s="1013"/>
      <c r="DY93" s="1013"/>
      <c r="DZ93" s="1013"/>
      <c r="EA93" s="1013"/>
      <c r="EB93" s="1013"/>
      <c r="EC93" s="1013"/>
      <c r="ED93" s="1013"/>
      <c r="EE93" s="1013"/>
      <c r="EF93" s="1013"/>
      <c r="EG93" s="1013"/>
      <c r="EH93" s="1013"/>
      <c r="EI93" s="1013"/>
      <c r="EJ93" s="1013"/>
      <c r="EK93" s="1013"/>
      <c r="EL93" s="1013"/>
      <c r="EM93" s="1013"/>
      <c r="EN93" s="1013"/>
      <c r="EO93" s="1013"/>
      <c r="EP93" s="1013"/>
      <c r="EQ93" s="1013"/>
      <c r="ER93" s="1013"/>
      <c r="ES93" s="1013"/>
      <c r="ET93" s="1013"/>
      <c r="EU93" s="1013"/>
      <c r="EV93" s="1013"/>
      <c r="EW93" s="1013"/>
      <c r="EX93" s="1013"/>
      <c r="EY93" s="1013"/>
      <c r="EZ93" s="1013"/>
      <c r="FA93" s="1013"/>
      <c r="FB93" s="1013"/>
      <c r="FC93" s="1013"/>
      <c r="FD93" s="1013"/>
      <c r="FE93" s="1013"/>
      <c r="FF93" s="1013"/>
      <c r="FG93" s="1013"/>
      <c r="FH93" s="1013"/>
      <c r="FI93" s="1013"/>
      <c r="FJ93" s="1013"/>
      <c r="FK93" s="1013"/>
      <c r="FL93" s="1013"/>
      <c r="FM93" s="1013"/>
      <c r="FN93" s="1013"/>
      <c r="FO93" s="1013"/>
      <c r="FP93" s="1013"/>
      <c r="FQ93" s="1013"/>
      <c r="FR93" s="1013"/>
      <c r="FS93" s="1013"/>
      <c r="FT93" s="1013"/>
      <c r="FU93" s="1013"/>
      <c r="FV93" s="1013"/>
      <c r="FW93" s="1013"/>
      <c r="FX93" s="1013"/>
      <c r="FY93" s="1013"/>
      <c r="FZ93" s="1013"/>
      <c r="GA93" s="1013"/>
      <c r="GB93" s="1013"/>
      <c r="GC93" s="1013"/>
      <c r="GD93" s="1013"/>
      <c r="GE93" s="1013"/>
      <c r="GF93" s="1013"/>
      <c r="GG93" s="1013"/>
      <c r="GH93" s="1013"/>
      <c r="GI93" s="1013"/>
      <c r="GJ93" s="1013"/>
      <c r="GK93" s="1013"/>
      <c r="GL93" s="1013"/>
      <c r="GM93" s="1013"/>
      <c r="GN93" s="1013"/>
      <c r="GO93" s="1013"/>
      <c r="GP93" s="1013"/>
      <c r="GQ93" s="1013"/>
      <c r="GR93" s="1013"/>
      <c r="GS93" s="1013"/>
      <c r="GT93" s="1013"/>
      <c r="GU93" s="1013"/>
      <c r="GV93" s="1013"/>
      <c r="GW93" s="1013"/>
      <c r="GX93" s="1013"/>
      <c r="GY93" s="1013"/>
      <c r="GZ93" s="1013"/>
      <c r="HA93" s="1013"/>
    </row>
    <row r="94" spans="1:209" s="1003" customFormat="1" ht="30.75" customHeight="1">
      <c r="A94" s="950">
        <v>2</v>
      </c>
      <c r="B94" s="952" t="s">
        <v>758</v>
      </c>
      <c r="C94" s="952" t="s">
        <v>714</v>
      </c>
      <c r="D94" s="956" t="s">
        <v>601</v>
      </c>
      <c r="E94" s="1041">
        <v>0.5</v>
      </c>
      <c r="F94" s="955" t="s">
        <v>707</v>
      </c>
      <c r="G94" s="950">
        <v>5.0599999999999996</v>
      </c>
      <c r="H94" s="958">
        <v>17697</v>
      </c>
      <c r="I94" s="950">
        <v>3.42</v>
      </c>
      <c r="J94" s="950">
        <v>2.0499999999999998</v>
      </c>
      <c r="K94" s="958">
        <f t="shared" si="83"/>
        <v>153125.06219999999</v>
      </c>
      <c r="L94" s="958">
        <v>1</v>
      </c>
      <c r="M94" s="950"/>
      <c r="N94" s="958">
        <f t="shared" ref="N94:N96" si="91">K94/164*0.5*58</f>
        <v>27076.992706097561</v>
      </c>
      <c r="O94" s="958">
        <f t="shared" si="84"/>
        <v>1246.4753538841462</v>
      </c>
      <c r="P94" s="958"/>
      <c r="Q94" s="958"/>
      <c r="R94" s="958"/>
      <c r="S94" s="958"/>
      <c r="T94" s="958"/>
      <c r="U94" s="958"/>
      <c r="V94" s="958"/>
      <c r="W94" s="958"/>
      <c r="X94" s="958"/>
      <c r="Y94" s="958">
        <v>18</v>
      </c>
      <c r="Z94" s="959">
        <f t="shared" ref="Z94:Z98" si="92">Y94*350%</f>
        <v>63</v>
      </c>
      <c r="AA94" s="959">
        <f t="shared" si="85"/>
        <v>96468.789185999995</v>
      </c>
      <c r="AB94" s="959"/>
      <c r="AC94" s="959"/>
      <c r="AD94" s="958">
        <f t="shared" si="86"/>
        <v>15312.506219999999</v>
      </c>
      <c r="AE94" s="958">
        <f t="shared" si="87"/>
        <v>293229.82566598163</v>
      </c>
      <c r="AF94" s="958">
        <f t="shared" si="88"/>
        <v>3518757.9079917795</v>
      </c>
      <c r="AG94" s="958">
        <f t="shared" si="89"/>
        <v>153125.06219999999</v>
      </c>
      <c r="AH94" s="958">
        <f t="shared" si="90"/>
        <v>3671882.9701917795</v>
      </c>
      <c r="AI94" s="1022">
        <v>3325820.3296197802</v>
      </c>
      <c r="AJ94" s="1022">
        <f t="shared" ref="AJ94:AJ98" si="93">AF94-AI94</f>
        <v>192937.57837199932</v>
      </c>
      <c r="AK94" s="1021"/>
      <c r="AL94" s="1021"/>
      <c r="AM94" s="1013"/>
      <c r="AN94" s="1013"/>
      <c r="AO94" s="1013"/>
      <c r="AP94" s="1013"/>
      <c r="AQ94" s="1013"/>
      <c r="AR94" s="1013"/>
      <c r="AS94" s="1013"/>
      <c r="AT94" s="1013"/>
      <c r="AU94" s="1013"/>
      <c r="AV94" s="1013"/>
      <c r="AW94" s="1013"/>
      <c r="AX94" s="1013"/>
      <c r="AY94" s="1013"/>
      <c r="AZ94" s="1013"/>
      <c r="BA94" s="1013"/>
      <c r="BB94" s="1013"/>
      <c r="BC94" s="1013"/>
      <c r="BD94" s="1013"/>
      <c r="BE94" s="1013"/>
      <c r="BF94" s="1013"/>
      <c r="BG94" s="1013"/>
      <c r="BH94" s="1013"/>
      <c r="BI94" s="1013"/>
      <c r="BJ94" s="1013"/>
      <c r="BK94" s="1013"/>
      <c r="BL94" s="1013"/>
      <c r="BM94" s="1013"/>
      <c r="BN94" s="1013"/>
      <c r="BO94" s="1013"/>
      <c r="BP94" s="1013"/>
      <c r="BQ94" s="1013"/>
      <c r="BR94" s="1013"/>
      <c r="BS94" s="1013"/>
      <c r="BT94" s="1013"/>
      <c r="BU94" s="1013"/>
      <c r="BV94" s="1013"/>
      <c r="BW94" s="1013"/>
      <c r="BX94" s="1013"/>
      <c r="BY94" s="1013"/>
      <c r="BZ94" s="1013"/>
      <c r="CA94" s="1013"/>
      <c r="CB94" s="1013"/>
      <c r="CC94" s="1013"/>
      <c r="CD94" s="1013"/>
      <c r="CE94" s="1013"/>
      <c r="CF94" s="1013"/>
      <c r="CG94" s="1013"/>
      <c r="CH94" s="1013"/>
      <c r="CI94" s="1013"/>
      <c r="CJ94" s="1013"/>
      <c r="CK94" s="1013"/>
      <c r="CL94" s="1013"/>
      <c r="CM94" s="1013"/>
      <c r="CN94" s="1013"/>
      <c r="CO94" s="1013"/>
      <c r="CP94" s="1013"/>
      <c r="CQ94" s="1013"/>
      <c r="CR94" s="1013"/>
      <c r="CS94" s="1013"/>
      <c r="CT94" s="1013"/>
      <c r="CU94" s="1013"/>
      <c r="CV94" s="1013"/>
      <c r="CW94" s="1013"/>
      <c r="CX94" s="1013"/>
      <c r="CY94" s="1013"/>
      <c r="CZ94" s="1013"/>
      <c r="DA94" s="1013"/>
      <c r="DB94" s="1013"/>
      <c r="DC94" s="1013"/>
      <c r="DD94" s="1013"/>
      <c r="DE94" s="1013"/>
      <c r="DF94" s="1013"/>
      <c r="DG94" s="1013"/>
      <c r="DH94" s="1013"/>
      <c r="DI94" s="1013"/>
      <c r="DJ94" s="1013"/>
      <c r="DK94" s="1013"/>
      <c r="DL94" s="1013"/>
      <c r="DM94" s="1013"/>
      <c r="DN94" s="1013"/>
      <c r="DO94" s="1013"/>
      <c r="DP94" s="1013"/>
      <c r="DQ94" s="1013"/>
      <c r="DR94" s="1013"/>
      <c r="DS94" s="1013"/>
      <c r="DT94" s="1013"/>
      <c r="DU94" s="1013"/>
      <c r="DV94" s="1013"/>
      <c r="DW94" s="1013"/>
      <c r="DX94" s="1013"/>
      <c r="DY94" s="1013"/>
      <c r="DZ94" s="1013"/>
      <c r="EA94" s="1013"/>
      <c r="EB94" s="1013"/>
      <c r="EC94" s="1013"/>
      <c r="ED94" s="1013"/>
      <c r="EE94" s="1013"/>
      <c r="EF94" s="1013"/>
      <c r="EG94" s="1013"/>
      <c r="EH94" s="1013"/>
      <c r="EI94" s="1013"/>
      <c r="EJ94" s="1013"/>
      <c r="EK94" s="1013"/>
      <c r="EL94" s="1013"/>
      <c r="EM94" s="1013"/>
      <c r="EN94" s="1013"/>
      <c r="EO94" s="1013"/>
      <c r="EP94" s="1013"/>
      <c r="EQ94" s="1013"/>
      <c r="ER94" s="1013"/>
      <c r="ES94" s="1013"/>
      <c r="ET94" s="1013"/>
      <c r="EU94" s="1013"/>
      <c r="EV94" s="1013"/>
      <c r="EW94" s="1013"/>
      <c r="EX94" s="1013"/>
      <c r="EY94" s="1013"/>
      <c r="EZ94" s="1013"/>
      <c r="FA94" s="1013"/>
      <c r="FB94" s="1013"/>
      <c r="FC94" s="1013"/>
      <c r="FD94" s="1013"/>
      <c r="FE94" s="1013"/>
      <c r="FF94" s="1013"/>
      <c r="FG94" s="1013"/>
      <c r="FH94" s="1013"/>
      <c r="FI94" s="1013"/>
      <c r="FJ94" s="1013"/>
      <c r="FK94" s="1013"/>
      <c r="FL94" s="1013"/>
      <c r="FM94" s="1013"/>
      <c r="FN94" s="1013"/>
      <c r="FO94" s="1013"/>
      <c r="FP94" s="1013"/>
      <c r="FQ94" s="1013"/>
      <c r="FR94" s="1013"/>
      <c r="FS94" s="1013"/>
      <c r="FT94" s="1013"/>
      <c r="FU94" s="1013"/>
      <c r="FV94" s="1013"/>
      <c r="FW94" s="1013"/>
      <c r="FX94" s="1013"/>
      <c r="FY94" s="1013"/>
      <c r="FZ94" s="1013"/>
      <c r="GA94" s="1013"/>
      <c r="GB94" s="1013"/>
      <c r="GC94" s="1013"/>
      <c r="GD94" s="1013"/>
      <c r="GE94" s="1013"/>
      <c r="GF94" s="1013"/>
      <c r="GG94" s="1013"/>
      <c r="GH94" s="1013"/>
      <c r="GI94" s="1013"/>
      <c r="GJ94" s="1013"/>
      <c r="GK94" s="1013"/>
      <c r="GL94" s="1013"/>
      <c r="GM94" s="1013"/>
      <c r="GN94" s="1013"/>
      <c r="GO94" s="1013"/>
      <c r="GP94" s="1013"/>
      <c r="GQ94" s="1013"/>
      <c r="GR94" s="1013"/>
      <c r="GS94" s="1013"/>
      <c r="GT94" s="1013"/>
      <c r="GU94" s="1013"/>
      <c r="GV94" s="1013"/>
      <c r="GW94" s="1013"/>
      <c r="GX94" s="1013"/>
      <c r="GY94" s="1013"/>
      <c r="GZ94" s="1013"/>
      <c r="HA94" s="1013"/>
    </row>
    <row r="95" spans="1:209" s="1003" customFormat="1" ht="30.75" customHeight="1">
      <c r="A95" s="950">
        <v>3</v>
      </c>
      <c r="B95" s="952" t="s">
        <v>758</v>
      </c>
      <c r="C95" s="952" t="s">
        <v>714</v>
      </c>
      <c r="D95" s="956" t="s">
        <v>601</v>
      </c>
      <c r="E95" s="1041">
        <v>1.5</v>
      </c>
      <c r="F95" s="955" t="s">
        <v>76</v>
      </c>
      <c r="G95" s="950">
        <v>5.46</v>
      </c>
      <c r="H95" s="958">
        <v>17697</v>
      </c>
      <c r="I95" s="950">
        <v>3.42</v>
      </c>
      <c r="J95" s="950">
        <v>2.0499999999999998</v>
      </c>
      <c r="K95" s="958">
        <f t="shared" si="83"/>
        <v>495689.43059999996</v>
      </c>
      <c r="L95" s="958">
        <v>1</v>
      </c>
      <c r="M95" s="950"/>
      <c r="N95" s="958">
        <f t="shared" si="91"/>
        <v>87652.399313414629</v>
      </c>
      <c r="O95" s="958">
        <f t="shared" si="84"/>
        <v>4035.0328649451217</v>
      </c>
      <c r="P95" s="958"/>
      <c r="Q95" s="958"/>
      <c r="R95" s="958"/>
      <c r="S95" s="958"/>
      <c r="T95" s="958"/>
      <c r="U95" s="958"/>
      <c r="V95" s="958"/>
      <c r="W95" s="958"/>
      <c r="X95" s="958"/>
      <c r="Y95" s="958">
        <v>18</v>
      </c>
      <c r="Z95" s="959">
        <f t="shared" si="92"/>
        <v>63</v>
      </c>
      <c r="AA95" s="959">
        <f t="shared" si="85"/>
        <v>312284.34127799998</v>
      </c>
      <c r="AB95" s="959"/>
      <c r="AC95" s="959"/>
      <c r="AD95" s="958">
        <f t="shared" si="86"/>
        <v>49568.943059999998</v>
      </c>
      <c r="AE95" s="958">
        <f t="shared" si="87"/>
        <v>949230.14711635956</v>
      </c>
      <c r="AF95" s="958">
        <f t="shared" si="88"/>
        <v>11390761.765396316</v>
      </c>
      <c r="AG95" s="958">
        <f t="shared" si="89"/>
        <v>495689.43059999996</v>
      </c>
      <c r="AH95" s="958">
        <f t="shared" si="90"/>
        <v>11886451.195996316</v>
      </c>
      <c r="AI95" s="1022">
        <v>10766193.082840316</v>
      </c>
      <c r="AJ95" s="1022">
        <f t="shared" si="93"/>
        <v>624568.68255599961</v>
      </c>
      <c r="AK95" s="1021"/>
      <c r="AL95" s="1021"/>
      <c r="AM95" s="1013"/>
      <c r="AN95" s="1013"/>
      <c r="AO95" s="1013"/>
      <c r="AP95" s="1013"/>
      <c r="AQ95" s="1013"/>
      <c r="AR95" s="1013"/>
      <c r="AS95" s="1013"/>
      <c r="AT95" s="1013"/>
      <c r="AU95" s="1013"/>
      <c r="AV95" s="1013"/>
      <c r="AW95" s="1013"/>
      <c r="AX95" s="1013"/>
      <c r="AY95" s="1013"/>
      <c r="AZ95" s="1013"/>
      <c r="BA95" s="1013"/>
      <c r="BB95" s="1013"/>
      <c r="BC95" s="1013"/>
      <c r="BD95" s="1013"/>
      <c r="BE95" s="1013"/>
      <c r="BF95" s="1013"/>
      <c r="BG95" s="1013"/>
      <c r="BH95" s="1013"/>
      <c r="BI95" s="1013"/>
      <c r="BJ95" s="1013"/>
      <c r="BK95" s="1013"/>
      <c r="BL95" s="1013"/>
      <c r="BM95" s="1013"/>
      <c r="BN95" s="1013"/>
      <c r="BO95" s="1013"/>
      <c r="BP95" s="1013"/>
      <c r="BQ95" s="1013"/>
      <c r="BR95" s="1013"/>
      <c r="BS95" s="1013"/>
      <c r="BT95" s="1013"/>
      <c r="BU95" s="1013"/>
      <c r="BV95" s="1013"/>
      <c r="BW95" s="1013"/>
      <c r="BX95" s="1013"/>
      <c r="BY95" s="1013"/>
      <c r="BZ95" s="1013"/>
      <c r="CA95" s="1013"/>
      <c r="CB95" s="1013"/>
      <c r="CC95" s="1013"/>
      <c r="CD95" s="1013"/>
      <c r="CE95" s="1013"/>
      <c r="CF95" s="1013"/>
      <c r="CG95" s="1013"/>
      <c r="CH95" s="1013"/>
      <c r="CI95" s="1013"/>
      <c r="CJ95" s="1013"/>
      <c r="CK95" s="1013"/>
      <c r="CL95" s="1013"/>
      <c r="CM95" s="1013"/>
      <c r="CN95" s="1013"/>
      <c r="CO95" s="1013"/>
      <c r="CP95" s="1013"/>
      <c r="CQ95" s="1013"/>
      <c r="CR95" s="1013"/>
      <c r="CS95" s="1013"/>
      <c r="CT95" s="1013"/>
      <c r="CU95" s="1013"/>
      <c r="CV95" s="1013"/>
      <c r="CW95" s="1013"/>
      <c r="CX95" s="1013"/>
      <c r="CY95" s="1013"/>
      <c r="CZ95" s="1013"/>
      <c r="DA95" s="1013"/>
      <c r="DB95" s="1013"/>
      <c r="DC95" s="1013"/>
      <c r="DD95" s="1013"/>
      <c r="DE95" s="1013"/>
      <c r="DF95" s="1013"/>
      <c r="DG95" s="1013"/>
      <c r="DH95" s="1013"/>
      <c r="DI95" s="1013"/>
      <c r="DJ95" s="1013"/>
      <c r="DK95" s="1013"/>
      <c r="DL95" s="1013"/>
      <c r="DM95" s="1013"/>
      <c r="DN95" s="1013"/>
      <c r="DO95" s="1013"/>
      <c r="DP95" s="1013"/>
      <c r="DQ95" s="1013"/>
      <c r="DR95" s="1013"/>
      <c r="DS95" s="1013"/>
      <c r="DT95" s="1013"/>
      <c r="DU95" s="1013"/>
      <c r="DV95" s="1013"/>
      <c r="DW95" s="1013"/>
      <c r="DX95" s="1013"/>
      <c r="DY95" s="1013"/>
      <c r="DZ95" s="1013"/>
      <c r="EA95" s="1013"/>
      <c r="EB95" s="1013"/>
      <c r="EC95" s="1013"/>
      <c r="ED95" s="1013"/>
      <c r="EE95" s="1013"/>
      <c r="EF95" s="1013"/>
      <c r="EG95" s="1013"/>
      <c r="EH95" s="1013"/>
      <c r="EI95" s="1013"/>
      <c r="EJ95" s="1013"/>
      <c r="EK95" s="1013"/>
      <c r="EL95" s="1013"/>
      <c r="EM95" s="1013"/>
      <c r="EN95" s="1013"/>
      <c r="EO95" s="1013"/>
      <c r="EP95" s="1013"/>
      <c r="EQ95" s="1013"/>
      <c r="ER95" s="1013"/>
      <c r="ES95" s="1013"/>
      <c r="ET95" s="1013"/>
      <c r="EU95" s="1013"/>
      <c r="EV95" s="1013"/>
      <c r="EW95" s="1013"/>
      <c r="EX95" s="1013"/>
      <c r="EY95" s="1013"/>
      <c r="EZ95" s="1013"/>
      <c r="FA95" s="1013"/>
      <c r="FB95" s="1013"/>
      <c r="FC95" s="1013"/>
      <c r="FD95" s="1013"/>
      <c r="FE95" s="1013"/>
      <c r="FF95" s="1013"/>
      <c r="FG95" s="1013"/>
      <c r="FH95" s="1013"/>
      <c r="FI95" s="1013"/>
      <c r="FJ95" s="1013"/>
      <c r="FK95" s="1013"/>
      <c r="FL95" s="1013"/>
      <c r="FM95" s="1013"/>
      <c r="FN95" s="1013"/>
      <c r="FO95" s="1013"/>
      <c r="FP95" s="1013"/>
      <c r="FQ95" s="1013"/>
      <c r="FR95" s="1013"/>
      <c r="FS95" s="1013"/>
      <c r="FT95" s="1013"/>
      <c r="FU95" s="1013"/>
      <c r="FV95" s="1013"/>
      <c r="FW95" s="1013"/>
      <c r="FX95" s="1013"/>
      <c r="FY95" s="1013"/>
      <c r="FZ95" s="1013"/>
      <c r="GA95" s="1013"/>
      <c r="GB95" s="1013"/>
      <c r="GC95" s="1013"/>
      <c r="GD95" s="1013"/>
      <c r="GE95" s="1013"/>
      <c r="GF95" s="1013"/>
      <c r="GG95" s="1013"/>
      <c r="GH95" s="1013"/>
      <c r="GI95" s="1013"/>
      <c r="GJ95" s="1013"/>
      <c r="GK95" s="1013"/>
      <c r="GL95" s="1013"/>
      <c r="GM95" s="1013"/>
      <c r="GN95" s="1013"/>
      <c r="GO95" s="1013"/>
      <c r="GP95" s="1013"/>
      <c r="GQ95" s="1013"/>
      <c r="GR95" s="1013"/>
      <c r="GS95" s="1013"/>
      <c r="GT95" s="1013"/>
      <c r="GU95" s="1013"/>
      <c r="GV95" s="1013"/>
      <c r="GW95" s="1013"/>
      <c r="GX95" s="1013"/>
      <c r="GY95" s="1013"/>
      <c r="GZ95" s="1013"/>
      <c r="HA95" s="1013"/>
    </row>
    <row r="96" spans="1:209" s="1003" customFormat="1" ht="44.25" customHeight="1">
      <c r="A96" s="950">
        <v>4</v>
      </c>
      <c r="B96" s="952" t="s">
        <v>759</v>
      </c>
      <c r="C96" s="952" t="s">
        <v>714</v>
      </c>
      <c r="D96" s="956" t="s">
        <v>603</v>
      </c>
      <c r="E96" s="959">
        <v>3</v>
      </c>
      <c r="F96" s="955" t="s">
        <v>76</v>
      </c>
      <c r="G96" s="950">
        <v>5.49</v>
      </c>
      <c r="H96" s="958">
        <v>17697</v>
      </c>
      <c r="I96" s="950">
        <v>2.34</v>
      </c>
      <c r="J96" s="950">
        <v>2.0499999999999998</v>
      </c>
      <c r="K96" s="958">
        <f t="shared" si="83"/>
        <v>682038.84059999988</v>
      </c>
      <c r="L96" s="958">
        <v>1</v>
      </c>
      <c r="M96" s="950"/>
      <c r="N96" s="958">
        <f t="shared" si="91"/>
        <v>120604.42913048778</v>
      </c>
      <c r="O96" s="958">
        <f t="shared" si="84"/>
        <v>5551.9625134207308</v>
      </c>
      <c r="P96" s="958"/>
      <c r="Q96" s="958"/>
      <c r="R96" s="958"/>
      <c r="S96" s="958"/>
      <c r="T96" s="958"/>
      <c r="U96" s="958"/>
      <c r="V96" s="958"/>
      <c r="W96" s="958"/>
      <c r="X96" s="958"/>
      <c r="Y96" s="958">
        <v>12</v>
      </c>
      <c r="Z96" s="959">
        <f t="shared" si="92"/>
        <v>42</v>
      </c>
      <c r="AA96" s="959">
        <f>K96*Z96%</f>
        <v>286456.31305199995</v>
      </c>
      <c r="AB96" s="959"/>
      <c r="AC96" s="959"/>
      <c r="AD96" s="958">
        <f t="shared" si="86"/>
        <v>68203.884059999997</v>
      </c>
      <c r="AE96" s="958">
        <f t="shared" si="87"/>
        <v>1162855.4293559084</v>
      </c>
      <c r="AF96" s="958">
        <f t="shared" si="88"/>
        <v>13954265.152270902</v>
      </c>
      <c r="AG96" s="958">
        <f t="shared" si="89"/>
        <v>682038.84059999988</v>
      </c>
      <c r="AH96" s="958">
        <f t="shared" si="90"/>
        <v>14636303.992870903</v>
      </c>
      <c r="AI96" s="1013">
        <v>13381352.526166901</v>
      </c>
      <c r="AJ96" s="1022">
        <f t="shared" si="93"/>
        <v>572912.62610400096</v>
      </c>
      <c r="AK96" s="1021"/>
      <c r="AL96" s="1021"/>
      <c r="AM96" s="1013"/>
      <c r="AN96" s="1013"/>
      <c r="AO96" s="1013"/>
      <c r="AP96" s="1013"/>
      <c r="AQ96" s="1013"/>
      <c r="AR96" s="1013"/>
      <c r="AS96" s="1013"/>
      <c r="AT96" s="1013"/>
      <c r="AU96" s="1013"/>
      <c r="AV96" s="1013"/>
      <c r="AW96" s="1013"/>
      <c r="AX96" s="1013"/>
      <c r="AY96" s="1013"/>
      <c r="AZ96" s="1013"/>
      <c r="BA96" s="1013"/>
      <c r="BB96" s="1013"/>
      <c r="BC96" s="1013"/>
      <c r="BD96" s="1013"/>
      <c r="BE96" s="1013"/>
      <c r="BF96" s="1013"/>
      <c r="BG96" s="1013"/>
      <c r="BH96" s="1013"/>
      <c r="BI96" s="1013"/>
      <c r="BJ96" s="1013"/>
      <c r="BK96" s="1013"/>
      <c r="BL96" s="1013"/>
      <c r="BM96" s="1013"/>
      <c r="BN96" s="1013"/>
      <c r="BO96" s="1013"/>
      <c r="BP96" s="1013"/>
      <c r="BQ96" s="1013"/>
      <c r="BR96" s="1013"/>
      <c r="BS96" s="1013"/>
      <c r="BT96" s="1013"/>
      <c r="BU96" s="1013"/>
      <c r="BV96" s="1013"/>
      <c r="BW96" s="1013"/>
      <c r="BX96" s="1013"/>
      <c r="BY96" s="1013"/>
      <c r="BZ96" s="1013"/>
      <c r="CA96" s="1013"/>
      <c r="CB96" s="1013"/>
      <c r="CC96" s="1013"/>
      <c r="CD96" s="1013"/>
      <c r="CE96" s="1013"/>
      <c r="CF96" s="1013"/>
      <c r="CG96" s="1013"/>
      <c r="CH96" s="1013"/>
      <c r="CI96" s="1013"/>
      <c r="CJ96" s="1013"/>
      <c r="CK96" s="1013"/>
      <c r="CL96" s="1013"/>
      <c r="CM96" s="1013"/>
      <c r="CN96" s="1013"/>
      <c r="CO96" s="1013"/>
      <c r="CP96" s="1013"/>
      <c r="CQ96" s="1013"/>
      <c r="CR96" s="1013"/>
      <c r="CS96" s="1013"/>
      <c r="CT96" s="1013"/>
      <c r="CU96" s="1013"/>
      <c r="CV96" s="1013"/>
      <c r="CW96" s="1013"/>
      <c r="CX96" s="1013"/>
      <c r="CY96" s="1013"/>
      <c r="CZ96" s="1013"/>
      <c r="DA96" s="1013"/>
      <c r="DB96" s="1013"/>
      <c r="DC96" s="1013"/>
      <c r="DD96" s="1013"/>
      <c r="DE96" s="1013"/>
      <c r="DF96" s="1013"/>
      <c r="DG96" s="1013"/>
      <c r="DH96" s="1013"/>
      <c r="DI96" s="1013"/>
      <c r="DJ96" s="1013"/>
      <c r="DK96" s="1013"/>
      <c r="DL96" s="1013"/>
      <c r="DM96" s="1013"/>
      <c r="DN96" s="1013"/>
      <c r="DO96" s="1013"/>
      <c r="DP96" s="1013"/>
      <c r="DQ96" s="1013"/>
      <c r="DR96" s="1013"/>
      <c r="DS96" s="1013"/>
      <c r="DT96" s="1013"/>
      <c r="DU96" s="1013"/>
      <c r="DV96" s="1013"/>
      <c r="DW96" s="1013"/>
      <c r="DX96" s="1013"/>
      <c r="DY96" s="1013"/>
      <c r="DZ96" s="1013"/>
      <c r="EA96" s="1013"/>
      <c r="EB96" s="1013"/>
      <c r="EC96" s="1013"/>
      <c r="ED96" s="1013"/>
      <c r="EE96" s="1013"/>
      <c r="EF96" s="1013"/>
      <c r="EG96" s="1013"/>
      <c r="EH96" s="1013"/>
      <c r="EI96" s="1013"/>
      <c r="EJ96" s="1013"/>
      <c r="EK96" s="1013"/>
      <c r="EL96" s="1013"/>
      <c r="EM96" s="1013"/>
      <c r="EN96" s="1013"/>
      <c r="EO96" s="1013"/>
      <c r="EP96" s="1013"/>
      <c r="EQ96" s="1013"/>
      <c r="ER96" s="1013"/>
      <c r="ES96" s="1013"/>
      <c r="ET96" s="1013"/>
      <c r="EU96" s="1013"/>
      <c r="EV96" s="1013"/>
      <c r="EW96" s="1013"/>
      <c r="EX96" s="1013"/>
      <c r="EY96" s="1013"/>
      <c r="EZ96" s="1013"/>
      <c r="FA96" s="1013"/>
      <c r="FB96" s="1013"/>
      <c r="FC96" s="1013"/>
      <c r="FD96" s="1013"/>
      <c r="FE96" s="1013"/>
      <c r="FF96" s="1013"/>
      <c r="FG96" s="1013"/>
      <c r="FH96" s="1013"/>
      <c r="FI96" s="1013"/>
      <c r="FJ96" s="1013"/>
      <c r="FK96" s="1013"/>
      <c r="FL96" s="1013"/>
      <c r="FM96" s="1013"/>
      <c r="FN96" s="1013"/>
      <c r="FO96" s="1013"/>
      <c r="FP96" s="1013"/>
      <c r="FQ96" s="1013"/>
      <c r="FR96" s="1013"/>
      <c r="FS96" s="1013"/>
      <c r="FT96" s="1013"/>
      <c r="FU96" s="1013"/>
      <c r="FV96" s="1013"/>
      <c r="FW96" s="1013"/>
      <c r="FX96" s="1013"/>
      <c r="FY96" s="1013"/>
      <c r="FZ96" s="1013"/>
      <c r="GA96" s="1013"/>
      <c r="GB96" s="1013"/>
      <c r="GC96" s="1013"/>
      <c r="GD96" s="1013"/>
      <c r="GE96" s="1013"/>
      <c r="GF96" s="1013"/>
      <c r="GG96" s="1013"/>
      <c r="GH96" s="1013"/>
      <c r="GI96" s="1013"/>
      <c r="GJ96" s="1013"/>
      <c r="GK96" s="1013"/>
      <c r="GL96" s="1013"/>
      <c r="GM96" s="1013"/>
      <c r="GN96" s="1013"/>
      <c r="GO96" s="1013"/>
      <c r="GP96" s="1013"/>
      <c r="GQ96" s="1013"/>
      <c r="GR96" s="1013"/>
      <c r="GS96" s="1013"/>
      <c r="GT96" s="1013"/>
      <c r="GU96" s="1013"/>
      <c r="GV96" s="1013"/>
      <c r="GW96" s="1013"/>
      <c r="GX96" s="1013"/>
      <c r="GY96" s="1013"/>
      <c r="GZ96" s="1013"/>
      <c r="HA96" s="1013"/>
    </row>
    <row r="97" spans="1:209" s="1003" customFormat="1" ht="42" customHeight="1">
      <c r="A97" s="950">
        <v>5</v>
      </c>
      <c r="B97" s="952" t="s">
        <v>761</v>
      </c>
      <c r="C97" s="952" t="s">
        <v>760</v>
      </c>
      <c r="D97" s="956" t="s">
        <v>605</v>
      </c>
      <c r="E97" s="959">
        <v>2</v>
      </c>
      <c r="F97" s="955" t="s">
        <v>731</v>
      </c>
      <c r="G97" s="950">
        <v>4.53</v>
      </c>
      <c r="H97" s="958">
        <v>17697</v>
      </c>
      <c r="I97" s="950">
        <v>2.34</v>
      </c>
      <c r="J97" s="950">
        <v>2.0499999999999998</v>
      </c>
      <c r="K97" s="958">
        <f t="shared" si="83"/>
        <v>375183.47879999998</v>
      </c>
      <c r="L97" s="958">
        <v>1</v>
      </c>
      <c r="M97" s="950"/>
      <c r="N97" s="958">
        <f>K97/164*0.5*58</f>
        <v>66343.420031707326</v>
      </c>
      <c r="O97" s="958">
        <f>K97/164*0.5*2.67</f>
        <v>3054.0850255975611</v>
      </c>
      <c r="P97" s="958"/>
      <c r="Q97" s="958"/>
      <c r="R97" s="958"/>
      <c r="S97" s="958">
        <f>E97*H97*R97%</f>
        <v>0</v>
      </c>
      <c r="T97" s="958"/>
      <c r="U97" s="958"/>
      <c r="V97" s="958"/>
      <c r="W97" s="958"/>
      <c r="X97" s="958"/>
      <c r="Y97" s="958">
        <v>12</v>
      </c>
      <c r="Z97" s="959">
        <f t="shared" si="92"/>
        <v>42</v>
      </c>
      <c r="AA97" s="959">
        <f t="shared" ref="AA97:AA98" si="94">K97*Z97%</f>
        <v>157577.06109599999</v>
      </c>
      <c r="AB97" s="959"/>
      <c r="AC97" s="959"/>
      <c r="AD97" s="958">
        <f t="shared" si="86"/>
        <v>37518.347880000001</v>
      </c>
      <c r="AE97" s="958">
        <f t="shared" si="87"/>
        <v>639676.39283330482</v>
      </c>
      <c r="AF97" s="958">
        <f t="shared" si="88"/>
        <v>7676116.7139996579</v>
      </c>
      <c r="AG97" s="958">
        <f t="shared" si="89"/>
        <v>375183.47879999998</v>
      </c>
      <c r="AH97" s="958">
        <f t="shared" si="90"/>
        <v>8051300.1927996576</v>
      </c>
      <c r="AI97" s="1020">
        <v>7360962.5918076579</v>
      </c>
      <c r="AJ97" s="1022">
        <f t="shared" si="93"/>
        <v>315154.12219200004</v>
      </c>
      <c r="AK97" s="1014"/>
      <c r="AL97" s="1021"/>
      <c r="AM97" s="1013"/>
      <c r="AN97" s="1013"/>
      <c r="AO97" s="1013"/>
      <c r="AP97" s="1013"/>
      <c r="AQ97" s="1013"/>
      <c r="AR97" s="1013"/>
      <c r="AS97" s="1013"/>
      <c r="AT97" s="1013"/>
      <c r="AU97" s="1013"/>
      <c r="AV97" s="1013"/>
      <c r="AW97" s="1013"/>
      <c r="AX97" s="1013"/>
      <c r="AY97" s="1013"/>
      <c r="AZ97" s="1013"/>
      <c r="BA97" s="1013"/>
      <c r="BB97" s="1013"/>
      <c r="BC97" s="1013"/>
      <c r="BD97" s="1013"/>
      <c r="BE97" s="1013"/>
      <c r="BF97" s="1013"/>
      <c r="BG97" s="1013"/>
      <c r="BH97" s="1013"/>
      <c r="BI97" s="1013"/>
      <c r="BJ97" s="1013"/>
      <c r="BK97" s="1013"/>
      <c r="BL97" s="1013"/>
      <c r="BM97" s="1013"/>
      <c r="BN97" s="1013"/>
      <c r="BO97" s="1013"/>
      <c r="BP97" s="1013"/>
      <c r="BQ97" s="1013"/>
      <c r="BR97" s="1013"/>
      <c r="BS97" s="1013"/>
      <c r="BT97" s="1013"/>
      <c r="BU97" s="1013"/>
      <c r="BV97" s="1013"/>
      <c r="BW97" s="1013"/>
      <c r="BX97" s="1013"/>
      <c r="BY97" s="1013"/>
      <c r="BZ97" s="1013"/>
      <c r="CA97" s="1013"/>
      <c r="CB97" s="1013"/>
      <c r="CC97" s="1013"/>
      <c r="CD97" s="1013"/>
      <c r="CE97" s="1013"/>
      <c r="CF97" s="1013"/>
      <c r="CG97" s="1013"/>
      <c r="CH97" s="1013"/>
      <c r="CI97" s="1013"/>
      <c r="CJ97" s="1013"/>
      <c r="CK97" s="1013"/>
      <c r="CL97" s="1013"/>
      <c r="CM97" s="1013"/>
      <c r="CN97" s="1013"/>
      <c r="CO97" s="1013"/>
      <c r="CP97" s="1013"/>
      <c r="CQ97" s="1013"/>
      <c r="CR97" s="1013"/>
      <c r="CS97" s="1013"/>
      <c r="CT97" s="1013"/>
      <c r="CU97" s="1013"/>
      <c r="CV97" s="1013"/>
      <c r="CW97" s="1013"/>
      <c r="CX97" s="1013"/>
      <c r="CY97" s="1013"/>
      <c r="CZ97" s="1013"/>
      <c r="DA97" s="1013"/>
      <c r="DB97" s="1013"/>
      <c r="DC97" s="1013"/>
      <c r="DD97" s="1013"/>
      <c r="DE97" s="1013"/>
      <c r="DF97" s="1013"/>
      <c r="DG97" s="1013"/>
      <c r="DH97" s="1013"/>
      <c r="DI97" s="1013"/>
      <c r="DJ97" s="1013"/>
      <c r="DK97" s="1013"/>
      <c r="DL97" s="1013"/>
      <c r="DM97" s="1013"/>
      <c r="DN97" s="1013"/>
      <c r="DO97" s="1013"/>
      <c r="DP97" s="1013"/>
      <c r="DQ97" s="1013"/>
      <c r="DR97" s="1013"/>
      <c r="DS97" s="1013"/>
      <c r="DT97" s="1013"/>
      <c r="DU97" s="1013"/>
      <c r="DV97" s="1013"/>
      <c r="DW97" s="1013"/>
      <c r="DX97" s="1013"/>
      <c r="DY97" s="1013"/>
      <c r="DZ97" s="1013"/>
      <c r="EA97" s="1013"/>
      <c r="EB97" s="1013"/>
      <c r="EC97" s="1013"/>
      <c r="ED97" s="1013"/>
      <c r="EE97" s="1013"/>
      <c r="EF97" s="1013"/>
      <c r="EG97" s="1013"/>
      <c r="EH97" s="1013"/>
      <c r="EI97" s="1013"/>
      <c r="EJ97" s="1013"/>
      <c r="EK97" s="1013"/>
      <c r="EL97" s="1013"/>
      <c r="EM97" s="1013"/>
      <c r="EN97" s="1013"/>
      <c r="EO97" s="1013"/>
      <c r="EP97" s="1013"/>
      <c r="EQ97" s="1013"/>
      <c r="ER97" s="1013"/>
      <c r="ES97" s="1013"/>
      <c r="ET97" s="1013"/>
      <c r="EU97" s="1013"/>
      <c r="EV97" s="1013"/>
      <c r="EW97" s="1013"/>
      <c r="EX97" s="1013"/>
      <c r="EY97" s="1013"/>
      <c r="EZ97" s="1013"/>
      <c r="FA97" s="1013"/>
      <c r="FB97" s="1013"/>
      <c r="FC97" s="1013"/>
      <c r="FD97" s="1013"/>
      <c r="FE97" s="1013"/>
      <c r="FF97" s="1013"/>
      <c r="FG97" s="1013"/>
      <c r="FH97" s="1013"/>
      <c r="FI97" s="1013"/>
      <c r="FJ97" s="1013"/>
      <c r="FK97" s="1013"/>
      <c r="FL97" s="1013"/>
      <c r="FM97" s="1013"/>
      <c r="FN97" s="1013"/>
      <c r="FO97" s="1013"/>
      <c r="FP97" s="1013"/>
      <c r="FQ97" s="1013"/>
      <c r="FR97" s="1013"/>
      <c r="FS97" s="1013"/>
      <c r="FT97" s="1013"/>
      <c r="FU97" s="1013"/>
      <c r="FV97" s="1013"/>
      <c r="FW97" s="1013"/>
      <c r="FX97" s="1013"/>
      <c r="FY97" s="1013"/>
      <c r="FZ97" s="1013"/>
      <c r="GA97" s="1013"/>
      <c r="GB97" s="1013"/>
      <c r="GC97" s="1013"/>
      <c r="GD97" s="1013"/>
      <c r="GE97" s="1013"/>
      <c r="GF97" s="1013"/>
      <c r="GG97" s="1013"/>
      <c r="GH97" s="1013"/>
      <c r="GI97" s="1013"/>
      <c r="GJ97" s="1013"/>
      <c r="GK97" s="1013"/>
      <c r="GL97" s="1013"/>
      <c r="GM97" s="1013"/>
      <c r="GN97" s="1013"/>
      <c r="GO97" s="1013"/>
      <c r="GP97" s="1013"/>
      <c r="GQ97" s="1013"/>
      <c r="GR97" s="1013"/>
      <c r="GS97" s="1013"/>
      <c r="GT97" s="1013"/>
      <c r="GU97" s="1013"/>
      <c r="GV97" s="1013"/>
      <c r="GW97" s="1013"/>
      <c r="GX97" s="1013"/>
      <c r="GY97" s="1013"/>
      <c r="GZ97" s="1013"/>
      <c r="HA97" s="1013"/>
    </row>
    <row r="98" spans="1:209" s="1003" customFormat="1" ht="30.75" customHeight="1">
      <c r="A98" s="950">
        <v>6</v>
      </c>
      <c r="B98" s="952" t="s">
        <v>761</v>
      </c>
      <c r="C98" s="952" t="s">
        <v>762</v>
      </c>
      <c r="D98" s="956" t="s">
        <v>605</v>
      </c>
      <c r="E98" s="959">
        <v>1</v>
      </c>
      <c r="F98" s="958" t="s">
        <v>74</v>
      </c>
      <c r="G98" s="950">
        <v>4.22</v>
      </c>
      <c r="H98" s="958">
        <v>17697</v>
      </c>
      <c r="I98" s="950">
        <v>2.34</v>
      </c>
      <c r="J98" s="950">
        <v>2.0499999999999998</v>
      </c>
      <c r="K98" s="958">
        <f t="shared" si="83"/>
        <v>174754.33559999999</v>
      </c>
      <c r="L98" s="958">
        <v>1</v>
      </c>
      <c r="M98" s="950"/>
      <c r="N98" s="958">
        <f>K98/164*0.5*58</f>
        <v>30901.681295121951</v>
      </c>
      <c r="O98" s="958">
        <f>K98/164*0.5*2.67</f>
        <v>1422.542914792683</v>
      </c>
      <c r="P98" s="958"/>
      <c r="Q98" s="958"/>
      <c r="R98" s="958"/>
      <c r="S98" s="958"/>
      <c r="T98" s="958"/>
      <c r="U98" s="958"/>
      <c r="V98" s="958"/>
      <c r="W98" s="958"/>
      <c r="X98" s="958"/>
      <c r="Y98" s="958">
        <v>12</v>
      </c>
      <c r="Z98" s="959">
        <f t="shared" si="92"/>
        <v>42</v>
      </c>
      <c r="AA98" s="959">
        <f t="shared" si="94"/>
        <v>73396.820951999995</v>
      </c>
      <c r="AB98" s="959"/>
      <c r="AC98" s="959"/>
      <c r="AD98" s="958">
        <f t="shared" si="86"/>
        <v>17475.433560000001</v>
      </c>
      <c r="AE98" s="958">
        <f t="shared" si="87"/>
        <v>297950.81432191463</v>
      </c>
      <c r="AF98" s="958">
        <f t="shared" si="88"/>
        <v>3575409.7718629753</v>
      </c>
      <c r="AG98" s="958">
        <f t="shared" si="89"/>
        <v>174754.33559999999</v>
      </c>
      <c r="AH98" s="958">
        <f t="shared" si="90"/>
        <v>3750164.1074629752</v>
      </c>
      <c r="AI98" s="1020">
        <v>3428616.1299589751</v>
      </c>
      <c r="AJ98" s="1022">
        <f t="shared" si="93"/>
        <v>146793.64190400019</v>
      </c>
      <c r="AK98" s="1014"/>
      <c r="AL98" s="1021"/>
      <c r="AM98" s="1013"/>
      <c r="AN98" s="1013"/>
      <c r="AO98" s="1013"/>
      <c r="AP98" s="1013"/>
      <c r="AQ98" s="1013"/>
      <c r="AR98" s="1013"/>
      <c r="AS98" s="1013"/>
      <c r="AT98" s="1013"/>
      <c r="AU98" s="1013"/>
      <c r="AV98" s="1013"/>
      <c r="AW98" s="1013"/>
      <c r="AX98" s="1013"/>
      <c r="AY98" s="1013"/>
      <c r="AZ98" s="1013"/>
      <c r="BA98" s="1013"/>
      <c r="BB98" s="1013"/>
      <c r="BC98" s="1013"/>
      <c r="BD98" s="1013"/>
      <c r="BE98" s="1013"/>
      <c r="BF98" s="1013"/>
      <c r="BG98" s="1013"/>
      <c r="BH98" s="1013"/>
      <c r="BI98" s="1013"/>
      <c r="BJ98" s="1013"/>
      <c r="BK98" s="1013"/>
      <c r="BL98" s="1013"/>
      <c r="BM98" s="1013"/>
      <c r="BN98" s="1013"/>
      <c r="BO98" s="1013"/>
      <c r="BP98" s="1013"/>
      <c r="BQ98" s="1013"/>
      <c r="BR98" s="1013"/>
      <c r="BS98" s="1013"/>
      <c r="BT98" s="1013"/>
      <c r="BU98" s="1013"/>
      <c r="BV98" s="1013"/>
      <c r="BW98" s="1013"/>
      <c r="BX98" s="1013"/>
      <c r="BY98" s="1013"/>
      <c r="BZ98" s="1013"/>
      <c r="CA98" s="1013"/>
      <c r="CB98" s="1013"/>
      <c r="CC98" s="1013"/>
      <c r="CD98" s="1013"/>
      <c r="CE98" s="1013"/>
      <c r="CF98" s="1013"/>
      <c r="CG98" s="1013"/>
      <c r="CH98" s="1013"/>
      <c r="CI98" s="1013"/>
      <c r="CJ98" s="1013"/>
      <c r="CK98" s="1013"/>
      <c r="CL98" s="1013"/>
      <c r="CM98" s="1013"/>
      <c r="CN98" s="1013"/>
      <c r="CO98" s="1013"/>
      <c r="CP98" s="1013"/>
      <c r="CQ98" s="1013"/>
      <c r="CR98" s="1013"/>
      <c r="CS98" s="1013"/>
      <c r="CT98" s="1013"/>
      <c r="CU98" s="1013"/>
      <c r="CV98" s="1013"/>
      <c r="CW98" s="1013"/>
      <c r="CX98" s="1013"/>
      <c r="CY98" s="1013"/>
      <c r="CZ98" s="1013"/>
      <c r="DA98" s="1013"/>
      <c r="DB98" s="1013"/>
      <c r="DC98" s="1013"/>
      <c r="DD98" s="1013"/>
      <c r="DE98" s="1013"/>
      <c r="DF98" s="1013"/>
      <c r="DG98" s="1013"/>
      <c r="DH98" s="1013"/>
      <c r="DI98" s="1013"/>
      <c r="DJ98" s="1013"/>
      <c r="DK98" s="1013"/>
      <c r="DL98" s="1013"/>
      <c r="DM98" s="1013"/>
      <c r="DN98" s="1013"/>
      <c r="DO98" s="1013"/>
      <c r="DP98" s="1013"/>
      <c r="DQ98" s="1013"/>
      <c r="DR98" s="1013"/>
      <c r="DS98" s="1013"/>
      <c r="DT98" s="1013"/>
      <c r="DU98" s="1013"/>
      <c r="DV98" s="1013"/>
      <c r="DW98" s="1013"/>
      <c r="DX98" s="1013"/>
      <c r="DY98" s="1013"/>
      <c r="DZ98" s="1013"/>
      <c r="EA98" s="1013"/>
      <c r="EB98" s="1013"/>
      <c r="EC98" s="1013"/>
      <c r="ED98" s="1013"/>
      <c r="EE98" s="1013"/>
      <c r="EF98" s="1013"/>
      <c r="EG98" s="1013"/>
      <c r="EH98" s="1013"/>
      <c r="EI98" s="1013"/>
      <c r="EJ98" s="1013"/>
      <c r="EK98" s="1013"/>
      <c r="EL98" s="1013"/>
      <c r="EM98" s="1013"/>
      <c r="EN98" s="1013"/>
      <c r="EO98" s="1013"/>
      <c r="EP98" s="1013"/>
      <c r="EQ98" s="1013"/>
      <c r="ER98" s="1013"/>
      <c r="ES98" s="1013"/>
      <c r="ET98" s="1013"/>
      <c r="EU98" s="1013"/>
      <c r="EV98" s="1013"/>
      <c r="EW98" s="1013"/>
      <c r="EX98" s="1013"/>
      <c r="EY98" s="1013"/>
      <c r="EZ98" s="1013"/>
      <c r="FA98" s="1013"/>
      <c r="FB98" s="1013"/>
      <c r="FC98" s="1013"/>
      <c r="FD98" s="1013"/>
      <c r="FE98" s="1013"/>
      <c r="FF98" s="1013"/>
      <c r="FG98" s="1013"/>
      <c r="FH98" s="1013"/>
      <c r="FI98" s="1013"/>
      <c r="FJ98" s="1013"/>
      <c r="FK98" s="1013"/>
      <c r="FL98" s="1013"/>
      <c r="FM98" s="1013"/>
      <c r="FN98" s="1013"/>
      <c r="FO98" s="1013"/>
      <c r="FP98" s="1013"/>
      <c r="FQ98" s="1013"/>
      <c r="FR98" s="1013"/>
      <c r="FS98" s="1013"/>
      <c r="FT98" s="1013"/>
      <c r="FU98" s="1013"/>
      <c r="FV98" s="1013"/>
      <c r="FW98" s="1013"/>
      <c r="FX98" s="1013"/>
      <c r="FY98" s="1013"/>
      <c r="FZ98" s="1013"/>
      <c r="GA98" s="1013"/>
      <c r="GB98" s="1013"/>
      <c r="GC98" s="1013"/>
      <c r="GD98" s="1013"/>
      <c r="GE98" s="1013"/>
      <c r="GF98" s="1013"/>
      <c r="GG98" s="1013"/>
      <c r="GH98" s="1013"/>
      <c r="GI98" s="1013"/>
      <c r="GJ98" s="1013"/>
      <c r="GK98" s="1013"/>
      <c r="GL98" s="1013"/>
      <c r="GM98" s="1013"/>
      <c r="GN98" s="1013"/>
      <c r="GO98" s="1013"/>
      <c r="GP98" s="1013"/>
      <c r="GQ98" s="1013"/>
      <c r="GR98" s="1013"/>
      <c r="GS98" s="1013"/>
      <c r="GT98" s="1013"/>
      <c r="GU98" s="1013"/>
      <c r="GV98" s="1013"/>
      <c r="GW98" s="1013"/>
      <c r="GX98" s="1013"/>
      <c r="GY98" s="1013"/>
      <c r="GZ98" s="1013"/>
      <c r="HA98" s="1013"/>
    </row>
    <row r="99" spans="1:209" s="1003" customFormat="1" ht="24.75" customHeight="1">
      <c r="A99" s="950"/>
      <c r="B99" s="964" t="s">
        <v>627</v>
      </c>
      <c r="C99" s="952"/>
      <c r="D99" s="963"/>
      <c r="E99" s="961">
        <f>SUM(E93:E98)</f>
        <v>9</v>
      </c>
      <c r="F99" s="950"/>
      <c r="G99" s="950"/>
      <c r="H99" s="963"/>
      <c r="I99" s="963"/>
      <c r="J99" s="963"/>
      <c r="K99" s="961">
        <f>SUM(K93:K98)</f>
        <v>2170094.625</v>
      </c>
      <c r="L99" s="961">
        <f>SUM(L93:L98)</f>
        <v>6</v>
      </c>
      <c r="M99" s="961">
        <f>SUM(M93:M98)</f>
        <v>0</v>
      </c>
      <c r="N99" s="961">
        <f>SUM(N93:N98)</f>
        <v>383736.24466463417</v>
      </c>
      <c r="O99" s="961">
        <f>SUM(O93:O98)</f>
        <v>17665.099538871953</v>
      </c>
      <c r="P99" s="961"/>
      <c r="Q99" s="961"/>
      <c r="R99" s="961"/>
      <c r="S99" s="961">
        <f>SUM(S93:S98)</f>
        <v>0</v>
      </c>
      <c r="T99" s="965"/>
      <c r="U99" s="965"/>
      <c r="V99" s="965"/>
      <c r="W99" s="965"/>
      <c r="X99" s="965"/>
      <c r="Y99" s="965"/>
      <c r="Z99" s="965"/>
      <c r="AA99" s="961">
        <f>SUM(AA93:AA98)</f>
        <v>1108444.5162000002</v>
      </c>
      <c r="AB99" s="961"/>
      <c r="AC99" s="961"/>
      <c r="AD99" s="961">
        <f>SUM(AD93:AD98)</f>
        <v>217009.46249999999</v>
      </c>
      <c r="AE99" s="961">
        <f>SUM(AE93:AE98)</f>
        <v>3896949.9479035055</v>
      </c>
      <c r="AF99" s="961">
        <f>SUM(AF93:AF98)</f>
        <v>46763399.37484207</v>
      </c>
      <c r="AG99" s="961">
        <f>SUM(AG93:AG98)</f>
        <v>2170094.625</v>
      </c>
      <c r="AH99" s="961">
        <f>SUM(AH93:AH98)</f>
        <v>48933493.99984207</v>
      </c>
      <c r="AI99" s="1022"/>
      <c r="AJ99" s="1023"/>
      <c r="AK99" s="1014"/>
      <c r="AL99" s="1021"/>
      <c r="AM99" s="1013"/>
      <c r="AN99" s="1013"/>
      <c r="AO99" s="1013"/>
      <c r="AP99" s="1013"/>
      <c r="AQ99" s="1013"/>
      <c r="AR99" s="1013"/>
      <c r="AS99" s="1013"/>
      <c r="AT99" s="1013"/>
      <c r="AU99" s="1013"/>
      <c r="AV99" s="1013"/>
      <c r="AW99" s="1013"/>
      <c r="AX99" s="1013"/>
      <c r="AY99" s="1013"/>
      <c r="AZ99" s="1013"/>
      <c r="BA99" s="1013"/>
      <c r="BB99" s="1013"/>
      <c r="BC99" s="1013"/>
      <c r="BD99" s="1013"/>
      <c r="BE99" s="1013"/>
      <c r="BF99" s="1013"/>
      <c r="BG99" s="1013"/>
      <c r="BH99" s="1013"/>
      <c r="BI99" s="1013"/>
      <c r="BJ99" s="1013"/>
      <c r="BK99" s="1013"/>
      <c r="BL99" s="1013"/>
      <c r="BM99" s="1013"/>
      <c r="BN99" s="1013"/>
      <c r="BO99" s="1013"/>
      <c r="BP99" s="1013"/>
      <c r="BQ99" s="1013"/>
      <c r="BR99" s="1013"/>
      <c r="BS99" s="1013"/>
      <c r="BT99" s="1013"/>
      <c r="BU99" s="1013"/>
      <c r="BV99" s="1013"/>
      <c r="BW99" s="1013"/>
      <c r="BX99" s="1013"/>
      <c r="BY99" s="1013"/>
      <c r="BZ99" s="1013"/>
      <c r="CA99" s="1013"/>
      <c r="CB99" s="1013"/>
      <c r="CC99" s="1013"/>
      <c r="CD99" s="1013"/>
      <c r="CE99" s="1013"/>
      <c r="CF99" s="1013"/>
      <c r="CG99" s="1013"/>
      <c r="CH99" s="1013"/>
      <c r="CI99" s="1013"/>
      <c r="CJ99" s="1013"/>
      <c r="CK99" s="1013"/>
      <c r="CL99" s="1013"/>
      <c r="CM99" s="1013"/>
      <c r="CN99" s="1013"/>
      <c r="CO99" s="1013"/>
      <c r="CP99" s="1013"/>
      <c r="CQ99" s="1013"/>
      <c r="CR99" s="1013"/>
      <c r="CS99" s="1013"/>
      <c r="CT99" s="1013"/>
      <c r="CU99" s="1013"/>
      <c r="CV99" s="1013"/>
      <c r="CW99" s="1013"/>
      <c r="CX99" s="1013"/>
      <c r="CY99" s="1013"/>
      <c r="CZ99" s="1013"/>
      <c r="DA99" s="1013"/>
      <c r="DB99" s="1013"/>
      <c r="DC99" s="1013"/>
      <c r="DD99" s="1013"/>
      <c r="DE99" s="1013"/>
      <c r="DF99" s="1013"/>
      <c r="DG99" s="1013"/>
      <c r="DH99" s="1013"/>
      <c r="DI99" s="1013"/>
      <c r="DJ99" s="1013"/>
      <c r="DK99" s="1013"/>
      <c r="DL99" s="1013"/>
      <c r="DM99" s="1013"/>
      <c r="DN99" s="1013"/>
      <c r="DO99" s="1013"/>
      <c r="DP99" s="1013"/>
      <c r="DQ99" s="1013"/>
      <c r="DR99" s="1013"/>
      <c r="DS99" s="1013"/>
      <c r="DT99" s="1013"/>
      <c r="DU99" s="1013"/>
      <c r="DV99" s="1013"/>
      <c r="DW99" s="1013"/>
      <c r="DX99" s="1013"/>
      <c r="DY99" s="1013"/>
      <c r="DZ99" s="1013"/>
      <c r="EA99" s="1013"/>
      <c r="EB99" s="1013"/>
      <c r="EC99" s="1013"/>
      <c r="ED99" s="1013"/>
      <c r="EE99" s="1013"/>
      <c r="EF99" s="1013"/>
      <c r="EG99" s="1013"/>
      <c r="EH99" s="1013"/>
      <c r="EI99" s="1013"/>
      <c r="EJ99" s="1013"/>
      <c r="EK99" s="1013"/>
      <c r="EL99" s="1013"/>
      <c r="EM99" s="1013"/>
      <c r="EN99" s="1013"/>
      <c r="EO99" s="1013"/>
      <c r="EP99" s="1013"/>
      <c r="EQ99" s="1013"/>
      <c r="ER99" s="1013"/>
      <c r="ES99" s="1013"/>
      <c r="ET99" s="1013"/>
      <c r="EU99" s="1013"/>
      <c r="EV99" s="1013"/>
      <c r="EW99" s="1013"/>
      <c r="EX99" s="1013"/>
      <c r="EY99" s="1013"/>
      <c r="EZ99" s="1013"/>
      <c r="FA99" s="1013"/>
      <c r="FB99" s="1013"/>
      <c r="FC99" s="1013"/>
      <c r="FD99" s="1013"/>
      <c r="FE99" s="1013"/>
      <c r="FF99" s="1013"/>
      <c r="FG99" s="1013"/>
      <c r="FH99" s="1013"/>
      <c r="FI99" s="1013"/>
      <c r="FJ99" s="1013"/>
      <c r="FK99" s="1013"/>
      <c r="FL99" s="1013"/>
      <c r="FM99" s="1013"/>
      <c r="FN99" s="1013"/>
      <c r="FO99" s="1013"/>
      <c r="FP99" s="1013"/>
      <c r="FQ99" s="1013"/>
      <c r="FR99" s="1013"/>
      <c r="FS99" s="1013"/>
      <c r="FT99" s="1013"/>
      <c r="FU99" s="1013"/>
      <c r="FV99" s="1013"/>
      <c r="FW99" s="1013"/>
      <c r="FX99" s="1013"/>
      <c r="FY99" s="1013"/>
      <c r="FZ99" s="1013"/>
      <c r="GA99" s="1013"/>
      <c r="GB99" s="1013"/>
      <c r="GC99" s="1013"/>
      <c r="GD99" s="1013"/>
      <c r="GE99" s="1013"/>
      <c r="GF99" s="1013"/>
      <c r="GG99" s="1013"/>
      <c r="GH99" s="1013"/>
      <c r="GI99" s="1013"/>
      <c r="GJ99" s="1013"/>
      <c r="GK99" s="1013"/>
      <c r="GL99" s="1013"/>
      <c r="GM99" s="1013"/>
      <c r="GN99" s="1013"/>
      <c r="GO99" s="1013"/>
      <c r="GP99" s="1013"/>
      <c r="GQ99" s="1013"/>
      <c r="GR99" s="1013"/>
      <c r="GS99" s="1013"/>
      <c r="GT99" s="1013"/>
      <c r="GU99" s="1013"/>
      <c r="GV99" s="1013"/>
      <c r="GW99" s="1013"/>
      <c r="GX99" s="1013"/>
      <c r="GY99" s="1013"/>
      <c r="GZ99" s="1013"/>
      <c r="HA99" s="1013"/>
    </row>
    <row r="100" spans="1:209" s="1003" customFormat="1" ht="30.75" customHeight="1">
      <c r="A100" s="950"/>
      <c r="B100" s="952"/>
      <c r="C100" s="964"/>
      <c r="D100" s="963"/>
      <c r="E100" s="965"/>
      <c r="F100" s="963"/>
      <c r="G100" s="963"/>
      <c r="H100" s="963"/>
      <c r="I100" s="963"/>
      <c r="J100" s="963"/>
      <c r="K100" s="963"/>
      <c r="L100" s="963"/>
      <c r="M100" s="963"/>
      <c r="N100" s="963"/>
      <c r="O100" s="963"/>
      <c r="P100" s="963"/>
      <c r="Q100" s="966" t="s">
        <v>1205</v>
      </c>
      <c r="R100" s="963"/>
      <c r="S100" s="963"/>
      <c r="T100" s="963"/>
      <c r="U100" s="963"/>
      <c r="V100" s="963"/>
      <c r="W100" s="963"/>
      <c r="X100" s="963"/>
      <c r="Y100" s="963"/>
      <c r="Z100" s="963"/>
      <c r="AA100" s="963"/>
      <c r="AB100" s="963"/>
      <c r="AC100" s="963"/>
      <c r="AD100" s="963"/>
      <c r="AE100" s="963"/>
      <c r="AF100" s="963"/>
      <c r="AG100" s="963"/>
      <c r="AH100" s="963"/>
      <c r="AI100" s="1013"/>
      <c r="AJ100" s="1013"/>
      <c r="AK100" s="1021"/>
      <c r="AL100" s="1021"/>
      <c r="AM100" s="1013"/>
      <c r="AN100" s="1013"/>
      <c r="AO100" s="1013"/>
      <c r="AP100" s="1013"/>
      <c r="AQ100" s="1013"/>
      <c r="AR100" s="1013"/>
      <c r="AS100" s="1013"/>
      <c r="AT100" s="1013"/>
      <c r="AU100" s="1013"/>
      <c r="AV100" s="1013"/>
      <c r="AW100" s="1013"/>
      <c r="AX100" s="1013"/>
      <c r="AY100" s="1013"/>
      <c r="AZ100" s="1013"/>
      <c r="BA100" s="1013"/>
      <c r="BB100" s="1013"/>
      <c r="BC100" s="1013"/>
      <c r="BD100" s="1013"/>
      <c r="BE100" s="1013"/>
      <c r="BF100" s="1013"/>
      <c r="BG100" s="1013"/>
      <c r="BH100" s="1013"/>
      <c r="BI100" s="1013"/>
      <c r="BJ100" s="1013"/>
      <c r="BK100" s="1013"/>
      <c r="BL100" s="1013"/>
      <c r="BM100" s="1013"/>
      <c r="BN100" s="1013"/>
      <c r="BO100" s="1013"/>
      <c r="BP100" s="1013"/>
      <c r="BQ100" s="1013"/>
      <c r="BR100" s="1013"/>
      <c r="BS100" s="1013"/>
      <c r="BT100" s="1013"/>
      <c r="BU100" s="1013"/>
      <c r="BV100" s="1013"/>
      <c r="BW100" s="1013"/>
      <c r="BX100" s="1013"/>
      <c r="BY100" s="1013"/>
      <c r="BZ100" s="1013"/>
      <c r="CA100" s="1013"/>
      <c r="CB100" s="1013"/>
      <c r="CC100" s="1013"/>
      <c r="CD100" s="1013"/>
      <c r="CE100" s="1013"/>
      <c r="CF100" s="1013"/>
      <c r="CG100" s="1013"/>
      <c r="CH100" s="1013"/>
      <c r="CI100" s="1013"/>
      <c r="CJ100" s="1013"/>
      <c r="CK100" s="1013"/>
      <c r="CL100" s="1013"/>
      <c r="CM100" s="1013"/>
      <c r="CN100" s="1013"/>
      <c r="CO100" s="1013"/>
      <c r="CP100" s="1013"/>
      <c r="CQ100" s="1013"/>
      <c r="CR100" s="1013"/>
      <c r="CS100" s="1013"/>
      <c r="CT100" s="1013"/>
      <c r="CU100" s="1013"/>
      <c r="CV100" s="1013"/>
      <c r="CW100" s="1013"/>
      <c r="CX100" s="1013"/>
      <c r="CY100" s="1013"/>
      <c r="CZ100" s="1013"/>
      <c r="DA100" s="1013"/>
      <c r="DB100" s="1013"/>
      <c r="DC100" s="1013"/>
      <c r="DD100" s="1013"/>
      <c r="DE100" s="1013"/>
      <c r="DF100" s="1013"/>
      <c r="DG100" s="1013"/>
      <c r="DH100" s="1013"/>
      <c r="DI100" s="1013"/>
      <c r="DJ100" s="1013"/>
      <c r="DK100" s="1013"/>
      <c r="DL100" s="1013"/>
      <c r="DM100" s="1013"/>
      <c r="DN100" s="1013"/>
      <c r="DO100" s="1013"/>
      <c r="DP100" s="1013"/>
      <c r="DQ100" s="1013"/>
      <c r="DR100" s="1013"/>
      <c r="DS100" s="1013"/>
      <c r="DT100" s="1013"/>
      <c r="DU100" s="1013"/>
      <c r="DV100" s="1013"/>
      <c r="DW100" s="1013"/>
      <c r="DX100" s="1013"/>
      <c r="DY100" s="1013"/>
      <c r="DZ100" s="1013"/>
      <c r="EA100" s="1013"/>
      <c r="EB100" s="1013"/>
      <c r="EC100" s="1013"/>
      <c r="ED100" s="1013"/>
      <c r="EE100" s="1013"/>
      <c r="EF100" s="1013"/>
      <c r="EG100" s="1013"/>
      <c r="EH100" s="1013"/>
      <c r="EI100" s="1013"/>
      <c r="EJ100" s="1013"/>
      <c r="EK100" s="1013"/>
      <c r="EL100" s="1013"/>
      <c r="EM100" s="1013"/>
      <c r="EN100" s="1013"/>
      <c r="EO100" s="1013"/>
      <c r="EP100" s="1013"/>
      <c r="EQ100" s="1013"/>
      <c r="ER100" s="1013"/>
      <c r="ES100" s="1013"/>
      <c r="ET100" s="1013"/>
      <c r="EU100" s="1013"/>
      <c r="EV100" s="1013"/>
      <c r="EW100" s="1013"/>
      <c r="EX100" s="1013"/>
      <c r="EY100" s="1013"/>
      <c r="EZ100" s="1013"/>
      <c r="FA100" s="1013"/>
      <c r="FB100" s="1013"/>
      <c r="FC100" s="1013"/>
      <c r="FD100" s="1013"/>
      <c r="FE100" s="1013"/>
      <c r="FF100" s="1013"/>
      <c r="FG100" s="1013"/>
      <c r="FH100" s="1013"/>
      <c r="FI100" s="1013"/>
      <c r="FJ100" s="1013"/>
      <c r="FK100" s="1013"/>
      <c r="FL100" s="1013"/>
      <c r="FM100" s="1013"/>
      <c r="FN100" s="1013"/>
      <c r="FO100" s="1013"/>
      <c r="FP100" s="1013"/>
      <c r="FQ100" s="1013"/>
      <c r="FR100" s="1013"/>
      <c r="FS100" s="1013"/>
      <c r="FT100" s="1013"/>
      <c r="FU100" s="1013"/>
      <c r="FV100" s="1013"/>
      <c r="FW100" s="1013"/>
      <c r="FX100" s="1013"/>
      <c r="FY100" s="1013"/>
      <c r="FZ100" s="1013"/>
      <c r="GA100" s="1013"/>
      <c r="GB100" s="1013"/>
      <c r="GC100" s="1013"/>
      <c r="GD100" s="1013"/>
      <c r="GE100" s="1013"/>
      <c r="GF100" s="1013"/>
      <c r="GG100" s="1013"/>
      <c r="GH100" s="1013"/>
      <c r="GI100" s="1013"/>
      <c r="GJ100" s="1013"/>
      <c r="GK100" s="1013"/>
      <c r="GL100" s="1013"/>
      <c r="GM100" s="1013"/>
      <c r="GN100" s="1013"/>
      <c r="GO100" s="1013"/>
      <c r="GP100" s="1013"/>
      <c r="GQ100" s="1013"/>
      <c r="GR100" s="1013"/>
      <c r="GS100" s="1013"/>
      <c r="GT100" s="1013"/>
      <c r="GU100" s="1013"/>
      <c r="GV100" s="1013"/>
      <c r="GW100" s="1013"/>
      <c r="GX100" s="1013"/>
      <c r="GY100" s="1013"/>
      <c r="GZ100" s="1013"/>
      <c r="HA100" s="1013"/>
    </row>
    <row r="101" spans="1:209" s="1003" customFormat="1" ht="30.75" customHeight="1">
      <c r="A101" s="950">
        <v>1</v>
      </c>
      <c r="B101" s="952" t="s">
        <v>764</v>
      </c>
      <c r="C101" s="952" t="s">
        <v>874</v>
      </c>
      <c r="D101" s="950" t="s">
        <v>153</v>
      </c>
      <c r="E101" s="954">
        <v>1</v>
      </c>
      <c r="F101" s="950" t="s">
        <v>1206</v>
      </c>
      <c r="G101" s="950">
        <v>5.05</v>
      </c>
      <c r="H101" s="957">
        <v>17697</v>
      </c>
      <c r="I101" s="955">
        <v>2</v>
      </c>
      <c r="J101" s="958"/>
      <c r="K101" s="958">
        <f t="shared" ref="K101:K112" si="95">H101*G101*E101*I101</f>
        <v>178739.69999999998</v>
      </c>
      <c r="L101" s="958">
        <v>1</v>
      </c>
      <c r="M101" s="958"/>
      <c r="N101" s="958"/>
      <c r="O101" s="958"/>
      <c r="P101" s="958"/>
      <c r="Q101" s="958"/>
      <c r="R101" s="958"/>
      <c r="S101" s="958"/>
      <c r="T101" s="958"/>
      <c r="U101" s="958"/>
      <c r="V101" s="958"/>
      <c r="W101" s="958"/>
      <c r="X101" s="958"/>
      <c r="Y101" s="958">
        <v>80</v>
      </c>
      <c r="Z101" s="959">
        <f>Y101*350%</f>
        <v>280</v>
      </c>
      <c r="AA101" s="959">
        <f t="shared" ref="AA101:AA108" si="96">K101*Z101%</f>
        <v>500471.15999999992</v>
      </c>
      <c r="AB101" s="959"/>
      <c r="AC101" s="959"/>
      <c r="AD101" s="958">
        <f t="shared" ref="AD101:AD112" si="97">K101*0.1</f>
        <v>17873.969999999998</v>
      </c>
      <c r="AE101" s="958">
        <f t="shared" ref="AE101:AE112" si="98">K101+N101+O101+Q101+S101+U101+W101+X101+AA101+AD101+AC101</f>
        <v>697084.82999999984</v>
      </c>
      <c r="AF101" s="958">
        <f t="shared" ref="AF101:AF111" si="99">AE101*12</f>
        <v>8365017.9599999981</v>
      </c>
      <c r="AG101" s="958">
        <f t="shared" ref="AG101:AG111" si="100">K101</f>
        <v>178739.69999999998</v>
      </c>
      <c r="AH101" s="958">
        <f t="shared" ref="AH101:AH111" si="101">AE101*12+AG101</f>
        <v>8543757.6599999983</v>
      </c>
      <c r="AK101" s="1014"/>
      <c r="AL101" s="1014"/>
    </row>
    <row r="102" spans="1:209" s="1013" customFormat="1" ht="60.75" customHeight="1">
      <c r="A102" s="950">
        <v>2</v>
      </c>
      <c r="B102" s="951" t="s">
        <v>765</v>
      </c>
      <c r="C102" s="951" t="s">
        <v>766</v>
      </c>
      <c r="D102" s="953" t="s">
        <v>73</v>
      </c>
      <c r="E102" s="954">
        <v>1</v>
      </c>
      <c r="F102" s="958" t="s">
        <v>705</v>
      </c>
      <c r="G102" s="953">
        <v>4.2300000000000004</v>
      </c>
      <c r="H102" s="957">
        <v>17697</v>
      </c>
      <c r="I102" s="955">
        <v>2</v>
      </c>
      <c r="J102" s="958"/>
      <c r="K102" s="958">
        <f t="shared" si="95"/>
        <v>149716.62000000002</v>
      </c>
      <c r="L102" s="958">
        <v>1</v>
      </c>
      <c r="M102" s="958"/>
      <c r="N102" s="958"/>
      <c r="O102" s="958"/>
      <c r="P102" s="958"/>
      <c r="Q102" s="958"/>
      <c r="R102" s="958">
        <v>25</v>
      </c>
      <c r="S102" s="958">
        <f>E102*H102*R102%</f>
        <v>4424.25</v>
      </c>
      <c r="T102" s="958"/>
      <c r="U102" s="958"/>
      <c r="V102" s="958"/>
      <c r="W102" s="958"/>
      <c r="X102" s="958"/>
      <c r="Y102" s="958">
        <v>50</v>
      </c>
      <c r="Z102" s="959">
        <f t="shared" ref="Z102:Z108" si="102">Y102*350%</f>
        <v>175</v>
      </c>
      <c r="AA102" s="959">
        <f t="shared" si="96"/>
        <v>262004.08500000005</v>
      </c>
      <c r="AB102" s="959"/>
      <c r="AC102" s="959"/>
      <c r="AD102" s="958">
        <f t="shared" si="97"/>
        <v>14971.662000000004</v>
      </c>
      <c r="AE102" s="958">
        <f t="shared" si="98"/>
        <v>431116.61700000009</v>
      </c>
      <c r="AF102" s="958">
        <f t="shared" si="99"/>
        <v>5173399.404000001</v>
      </c>
      <c r="AG102" s="958">
        <f t="shared" si="100"/>
        <v>149716.62000000002</v>
      </c>
      <c r="AH102" s="958">
        <f t="shared" si="101"/>
        <v>5323116.0240000011</v>
      </c>
      <c r="AK102" s="1021"/>
      <c r="AL102" s="1021"/>
    </row>
    <row r="103" spans="1:209" s="1003" customFormat="1" ht="44.25" customHeight="1">
      <c r="A103" s="950">
        <v>3</v>
      </c>
      <c r="B103" s="951" t="s">
        <v>767</v>
      </c>
      <c r="C103" s="952" t="s">
        <v>714</v>
      </c>
      <c r="D103" s="953" t="s">
        <v>73</v>
      </c>
      <c r="E103" s="954">
        <v>1</v>
      </c>
      <c r="F103" s="958" t="s">
        <v>74</v>
      </c>
      <c r="G103" s="956">
        <v>4.43</v>
      </c>
      <c r="H103" s="957">
        <v>17697</v>
      </c>
      <c r="I103" s="955">
        <v>2</v>
      </c>
      <c r="J103" s="958"/>
      <c r="K103" s="958">
        <f t="shared" si="95"/>
        <v>156795.41999999998</v>
      </c>
      <c r="L103" s="958">
        <v>1</v>
      </c>
      <c r="M103" s="958"/>
      <c r="N103" s="958"/>
      <c r="O103" s="958"/>
      <c r="P103" s="958"/>
      <c r="Q103" s="958"/>
      <c r="R103" s="958"/>
      <c r="S103" s="958"/>
      <c r="T103" s="958"/>
      <c r="U103" s="958"/>
      <c r="V103" s="958"/>
      <c r="W103" s="958"/>
      <c r="X103" s="958"/>
      <c r="Y103" s="958">
        <v>30</v>
      </c>
      <c r="Z103" s="959">
        <f t="shared" si="102"/>
        <v>105</v>
      </c>
      <c r="AA103" s="959">
        <f t="shared" si="96"/>
        <v>164635.19099999999</v>
      </c>
      <c r="AB103" s="959"/>
      <c r="AC103" s="959"/>
      <c r="AD103" s="958">
        <f t="shared" si="97"/>
        <v>15679.541999999999</v>
      </c>
      <c r="AE103" s="958">
        <f t="shared" si="98"/>
        <v>337110.15299999999</v>
      </c>
      <c r="AF103" s="958">
        <f t="shared" si="99"/>
        <v>4045321.8360000001</v>
      </c>
      <c r="AG103" s="958">
        <f t="shared" si="100"/>
        <v>156795.41999999998</v>
      </c>
      <c r="AH103" s="958">
        <f t="shared" si="101"/>
        <v>4202117.2560000001</v>
      </c>
      <c r="AI103" s="1020"/>
      <c r="AJ103" s="1020"/>
      <c r="AK103" s="1021"/>
      <c r="AL103" s="1021"/>
      <c r="AM103" s="1013"/>
      <c r="AN103" s="1013"/>
      <c r="AO103" s="1013"/>
      <c r="AP103" s="1013"/>
      <c r="AQ103" s="1013"/>
      <c r="AR103" s="1013"/>
      <c r="AS103" s="1013"/>
      <c r="AT103" s="1013"/>
      <c r="AU103" s="1013"/>
      <c r="AV103" s="1013"/>
      <c r="AW103" s="1013"/>
      <c r="AX103" s="1013"/>
      <c r="AY103" s="1013"/>
      <c r="AZ103" s="1013"/>
      <c r="BA103" s="1013"/>
      <c r="BB103" s="1013"/>
      <c r="BC103" s="1013"/>
      <c r="BD103" s="1013"/>
      <c r="BE103" s="1013"/>
      <c r="BF103" s="1013"/>
      <c r="BG103" s="1013"/>
      <c r="BH103" s="1013"/>
      <c r="BI103" s="1013"/>
      <c r="BJ103" s="1013"/>
      <c r="BK103" s="1013"/>
      <c r="BL103" s="1013"/>
      <c r="BM103" s="1013"/>
      <c r="BN103" s="1013"/>
      <c r="BO103" s="1013"/>
      <c r="BP103" s="1013"/>
      <c r="BQ103" s="1013"/>
      <c r="BR103" s="1013"/>
      <c r="BS103" s="1013"/>
      <c r="BT103" s="1013"/>
      <c r="BU103" s="1013"/>
      <c r="BV103" s="1013"/>
      <c r="BW103" s="1013"/>
      <c r="BX103" s="1013"/>
      <c r="BY103" s="1013"/>
      <c r="BZ103" s="1013"/>
      <c r="CA103" s="1013"/>
      <c r="CB103" s="1013"/>
      <c r="CC103" s="1013"/>
      <c r="CD103" s="1013"/>
      <c r="CE103" s="1013"/>
      <c r="CF103" s="1013"/>
      <c r="CG103" s="1013"/>
      <c r="CH103" s="1013"/>
      <c r="CI103" s="1013"/>
      <c r="CJ103" s="1013"/>
      <c r="CK103" s="1013"/>
      <c r="CL103" s="1013"/>
      <c r="CM103" s="1013"/>
      <c r="CN103" s="1013"/>
      <c r="CO103" s="1013"/>
      <c r="CP103" s="1013"/>
      <c r="CQ103" s="1013"/>
      <c r="CR103" s="1013"/>
      <c r="CS103" s="1013"/>
      <c r="CT103" s="1013"/>
      <c r="CU103" s="1013"/>
      <c r="CV103" s="1013"/>
      <c r="CW103" s="1013"/>
      <c r="CX103" s="1013"/>
      <c r="CY103" s="1013"/>
      <c r="CZ103" s="1013"/>
      <c r="DA103" s="1013"/>
      <c r="DB103" s="1013"/>
      <c r="DC103" s="1013"/>
      <c r="DD103" s="1013"/>
      <c r="DE103" s="1013"/>
      <c r="DF103" s="1013"/>
      <c r="DG103" s="1013"/>
      <c r="DH103" s="1013"/>
      <c r="DI103" s="1013"/>
      <c r="DJ103" s="1013"/>
      <c r="DK103" s="1013"/>
      <c r="DL103" s="1013"/>
      <c r="DM103" s="1013"/>
      <c r="DN103" s="1013"/>
      <c r="DO103" s="1013"/>
      <c r="DP103" s="1013"/>
      <c r="DQ103" s="1013"/>
      <c r="DR103" s="1013"/>
      <c r="DS103" s="1013"/>
      <c r="DT103" s="1013"/>
      <c r="DU103" s="1013"/>
      <c r="DV103" s="1013"/>
      <c r="DW103" s="1013"/>
      <c r="DX103" s="1013"/>
      <c r="DY103" s="1013"/>
      <c r="DZ103" s="1013"/>
      <c r="EA103" s="1013"/>
      <c r="EB103" s="1013"/>
      <c r="EC103" s="1013"/>
      <c r="ED103" s="1013"/>
      <c r="EE103" s="1013"/>
      <c r="EF103" s="1013"/>
      <c r="EG103" s="1013"/>
      <c r="EH103" s="1013"/>
      <c r="EI103" s="1013"/>
      <c r="EJ103" s="1013"/>
      <c r="EK103" s="1013"/>
      <c r="EL103" s="1013"/>
      <c r="EM103" s="1013"/>
      <c r="EN103" s="1013"/>
      <c r="EO103" s="1013"/>
      <c r="EP103" s="1013"/>
      <c r="EQ103" s="1013"/>
      <c r="ER103" s="1013"/>
      <c r="ES103" s="1013"/>
      <c r="ET103" s="1013"/>
      <c r="EU103" s="1013"/>
      <c r="EV103" s="1013"/>
      <c r="EW103" s="1013"/>
      <c r="EX103" s="1013"/>
      <c r="EY103" s="1013"/>
      <c r="EZ103" s="1013"/>
      <c r="FA103" s="1013"/>
      <c r="FB103" s="1013"/>
      <c r="FC103" s="1013"/>
      <c r="FD103" s="1013"/>
      <c r="FE103" s="1013"/>
      <c r="FF103" s="1013"/>
      <c r="FG103" s="1013"/>
      <c r="FH103" s="1013"/>
      <c r="FI103" s="1013"/>
      <c r="FJ103" s="1013"/>
      <c r="FK103" s="1013"/>
      <c r="FL103" s="1013"/>
      <c r="FM103" s="1013"/>
      <c r="FN103" s="1013"/>
      <c r="FO103" s="1013"/>
      <c r="FP103" s="1013"/>
      <c r="FQ103" s="1013"/>
      <c r="FR103" s="1013"/>
      <c r="FS103" s="1013"/>
      <c r="FT103" s="1013"/>
      <c r="FU103" s="1013"/>
      <c r="FV103" s="1013"/>
      <c r="FW103" s="1013"/>
      <c r="FX103" s="1013"/>
      <c r="FY103" s="1013"/>
      <c r="FZ103" s="1013"/>
      <c r="GA103" s="1013"/>
      <c r="GB103" s="1013"/>
      <c r="GC103" s="1013"/>
      <c r="GD103" s="1013"/>
      <c r="GE103" s="1013"/>
      <c r="GF103" s="1013"/>
      <c r="GG103" s="1013"/>
      <c r="GH103" s="1013"/>
      <c r="GI103" s="1013"/>
      <c r="GJ103" s="1013"/>
      <c r="GK103" s="1013"/>
      <c r="GL103" s="1013"/>
      <c r="GM103" s="1013"/>
      <c r="GN103" s="1013"/>
      <c r="GO103" s="1013"/>
      <c r="GP103" s="1013"/>
      <c r="GQ103" s="1013"/>
      <c r="GR103" s="1013"/>
      <c r="GS103" s="1013"/>
      <c r="GT103" s="1013"/>
      <c r="GU103" s="1013"/>
      <c r="GV103" s="1013"/>
      <c r="GW103" s="1013"/>
      <c r="GX103" s="1013"/>
      <c r="GY103" s="1013"/>
      <c r="GZ103" s="1013"/>
      <c r="HA103" s="1013"/>
    </row>
    <row r="104" spans="1:209" s="1003" customFormat="1" ht="51" customHeight="1">
      <c r="A104" s="950">
        <v>4</v>
      </c>
      <c r="B104" s="951" t="s">
        <v>768</v>
      </c>
      <c r="C104" s="951" t="s">
        <v>769</v>
      </c>
      <c r="D104" s="953" t="s">
        <v>73</v>
      </c>
      <c r="E104" s="954">
        <v>1</v>
      </c>
      <c r="F104" s="958" t="s">
        <v>772</v>
      </c>
      <c r="G104" s="953">
        <v>4.0999999999999996</v>
      </c>
      <c r="H104" s="957">
        <v>17697</v>
      </c>
      <c r="I104" s="955">
        <v>2</v>
      </c>
      <c r="J104" s="958"/>
      <c r="K104" s="958">
        <f t="shared" si="95"/>
        <v>145115.4</v>
      </c>
      <c r="L104" s="958">
        <v>2</v>
      </c>
      <c r="M104" s="958"/>
      <c r="N104" s="958"/>
      <c r="O104" s="958"/>
      <c r="P104" s="958"/>
      <c r="Q104" s="958"/>
      <c r="R104" s="958"/>
      <c r="S104" s="958"/>
      <c r="T104" s="958"/>
      <c r="U104" s="958"/>
      <c r="V104" s="958"/>
      <c r="W104" s="958"/>
      <c r="X104" s="958"/>
      <c r="Y104" s="958">
        <v>30</v>
      </c>
      <c r="Z104" s="959">
        <f t="shared" si="102"/>
        <v>105</v>
      </c>
      <c r="AA104" s="959">
        <f t="shared" si="96"/>
        <v>152371.17000000001</v>
      </c>
      <c r="AB104" s="959"/>
      <c r="AC104" s="959"/>
      <c r="AD104" s="958">
        <f t="shared" si="97"/>
        <v>14511.54</v>
      </c>
      <c r="AE104" s="958">
        <f t="shared" si="98"/>
        <v>311998.11</v>
      </c>
      <c r="AF104" s="958">
        <f t="shared" si="99"/>
        <v>3743977.32</v>
      </c>
      <c r="AG104" s="958">
        <f t="shared" si="100"/>
        <v>145115.4</v>
      </c>
      <c r="AH104" s="958">
        <f t="shared" si="101"/>
        <v>3889092.7199999997</v>
      </c>
      <c r="AI104" s="1020"/>
      <c r="AJ104" s="1020"/>
      <c r="AK104" s="1021"/>
      <c r="AL104" s="1021"/>
      <c r="AM104" s="1013"/>
      <c r="AN104" s="1013"/>
      <c r="AO104" s="1013"/>
      <c r="AP104" s="1013"/>
      <c r="AQ104" s="1013"/>
      <c r="AR104" s="1013"/>
      <c r="AS104" s="1013"/>
      <c r="AT104" s="1013"/>
      <c r="AU104" s="1013"/>
      <c r="AV104" s="1013"/>
      <c r="AW104" s="1013"/>
      <c r="AX104" s="1013"/>
      <c r="AY104" s="1013"/>
      <c r="AZ104" s="1013"/>
      <c r="BA104" s="1013"/>
      <c r="BB104" s="1013"/>
      <c r="BC104" s="1013"/>
      <c r="BD104" s="1013"/>
      <c r="BE104" s="1013"/>
      <c r="BF104" s="1013"/>
      <c r="BG104" s="1013"/>
      <c r="BH104" s="1013"/>
      <c r="BI104" s="1013"/>
      <c r="BJ104" s="1013"/>
      <c r="BK104" s="1013"/>
      <c r="BL104" s="1013"/>
      <c r="BM104" s="1013"/>
      <c r="BN104" s="1013"/>
      <c r="BO104" s="1013"/>
      <c r="BP104" s="1013"/>
      <c r="BQ104" s="1013"/>
      <c r="BR104" s="1013"/>
      <c r="BS104" s="1013"/>
      <c r="BT104" s="1013"/>
      <c r="BU104" s="1013"/>
      <c r="BV104" s="1013"/>
      <c r="BW104" s="1013"/>
      <c r="BX104" s="1013"/>
      <c r="BY104" s="1013"/>
      <c r="BZ104" s="1013"/>
      <c r="CA104" s="1013"/>
      <c r="CB104" s="1013"/>
      <c r="CC104" s="1013"/>
      <c r="CD104" s="1013"/>
      <c r="CE104" s="1013"/>
      <c r="CF104" s="1013"/>
      <c r="CG104" s="1013"/>
      <c r="CH104" s="1013"/>
      <c r="CI104" s="1013"/>
      <c r="CJ104" s="1013"/>
      <c r="CK104" s="1013"/>
      <c r="CL104" s="1013"/>
      <c r="CM104" s="1013"/>
      <c r="CN104" s="1013"/>
      <c r="CO104" s="1013"/>
      <c r="CP104" s="1013"/>
      <c r="CQ104" s="1013"/>
      <c r="CR104" s="1013"/>
      <c r="CS104" s="1013"/>
      <c r="CT104" s="1013"/>
      <c r="CU104" s="1013"/>
      <c r="CV104" s="1013"/>
      <c r="CW104" s="1013"/>
      <c r="CX104" s="1013"/>
      <c r="CY104" s="1013"/>
      <c r="CZ104" s="1013"/>
      <c r="DA104" s="1013"/>
      <c r="DB104" s="1013"/>
      <c r="DC104" s="1013"/>
      <c r="DD104" s="1013"/>
      <c r="DE104" s="1013"/>
      <c r="DF104" s="1013"/>
      <c r="DG104" s="1013"/>
      <c r="DH104" s="1013"/>
      <c r="DI104" s="1013"/>
      <c r="DJ104" s="1013"/>
      <c r="DK104" s="1013"/>
      <c r="DL104" s="1013"/>
      <c r="DM104" s="1013"/>
      <c r="DN104" s="1013"/>
      <c r="DO104" s="1013"/>
      <c r="DP104" s="1013"/>
      <c r="DQ104" s="1013"/>
      <c r="DR104" s="1013"/>
      <c r="DS104" s="1013"/>
      <c r="DT104" s="1013"/>
      <c r="DU104" s="1013"/>
      <c r="DV104" s="1013"/>
      <c r="DW104" s="1013"/>
      <c r="DX104" s="1013"/>
      <c r="DY104" s="1013"/>
      <c r="DZ104" s="1013"/>
      <c r="EA104" s="1013"/>
      <c r="EB104" s="1013"/>
      <c r="EC104" s="1013"/>
      <c r="ED104" s="1013"/>
      <c r="EE104" s="1013"/>
      <c r="EF104" s="1013"/>
      <c r="EG104" s="1013"/>
      <c r="EH104" s="1013"/>
      <c r="EI104" s="1013"/>
      <c r="EJ104" s="1013"/>
      <c r="EK104" s="1013"/>
      <c r="EL104" s="1013"/>
      <c r="EM104" s="1013"/>
      <c r="EN104" s="1013"/>
      <c r="EO104" s="1013"/>
      <c r="EP104" s="1013"/>
      <c r="EQ104" s="1013"/>
      <c r="ER104" s="1013"/>
      <c r="ES104" s="1013"/>
      <c r="ET104" s="1013"/>
      <c r="EU104" s="1013"/>
      <c r="EV104" s="1013"/>
      <c r="EW104" s="1013"/>
      <c r="EX104" s="1013"/>
      <c r="EY104" s="1013"/>
      <c r="EZ104" s="1013"/>
      <c r="FA104" s="1013"/>
      <c r="FB104" s="1013"/>
      <c r="FC104" s="1013"/>
      <c r="FD104" s="1013"/>
      <c r="FE104" s="1013"/>
      <c r="FF104" s="1013"/>
      <c r="FG104" s="1013"/>
      <c r="FH104" s="1013"/>
      <c r="FI104" s="1013"/>
      <c r="FJ104" s="1013"/>
      <c r="FK104" s="1013"/>
      <c r="FL104" s="1013"/>
      <c r="FM104" s="1013"/>
      <c r="FN104" s="1013"/>
      <c r="FO104" s="1013"/>
      <c r="FP104" s="1013"/>
      <c r="FQ104" s="1013"/>
      <c r="FR104" s="1013"/>
      <c r="FS104" s="1013"/>
      <c r="FT104" s="1013"/>
      <c r="FU104" s="1013"/>
      <c r="FV104" s="1013"/>
      <c r="FW104" s="1013"/>
      <c r="FX104" s="1013"/>
      <c r="FY104" s="1013"/>
      <c r="FZ104" s="1013"/>
      <c r="GA104" s="1013"/>
      <c r="GB104" s="1013"/>
      <c r="GC104" s="1013"/>
      <c r="GD104" s="1013"/>
      <c r="GE104" s="1013"/>
      <c r="GF104" s="1013"/>
      <c r="GG104" s="1013"/>
      <c r="GH104" s="1013"/>
      <c r="GI104" s="1013"/>
      <c r="GJ104" s="1013"/>
      <c r="GK104" s="1013"/>
      <c r="GL104" s="1013"/>
      <c r="GM104" s="1013"/>
      <c r="GN104" s="1013"/>
      <c r="GO104" s="1013"/>
      <c r="GP104" s="1013"/>
      <c r="GQ104" s="1013"/>
      <c r="GR104" s="1013"/>
      <c r="GS104" s="1013"/>
      <c r="GT104" s="1013"/>
      <c r="GU104" s="1013"/>
      <c r="GV104" s="1013"/>
      <c r="GW104" s="1013"/>
      <c r="GX104" s="1013"/>
      <c r="GY104" s="1013"/>
      <c r="GZ104" s="1013"/>
      <c r="HA104" s="1013"/>
    </row>
    <row r="105" spans="1:209" s="1003" customFormat="1" ht="43.5" customHeight="1">
      <c r="A105" s="950">
        <v>5</v>
      </c>
      <c r="B105" s="951" t="s">
        <v>770</v>
      </c>
      <c r="C105" s="995" t="s">
        <v>771</v>
      </c>
      <c r="D105" s="953" t="s">
        <v>173</v>
      </c>
      <c r="E105" s="954">
        <v>1</v>
      </c>
      <c r="F105" s="994" t="s">
        <v>584</v>
      </c>
      <c r="G105" s="983">
        <v>3.46</v>
      </c>
      <c r="H105" s="957">
        <v>17697</v>
      </c>
      <c r="I105" s="955">
        <v>2</v>
      </c>
      <c r="J105" s="958"/>
      <c r="K105" s="958">
        <f t="shared" si="95"/>
        <v>122463.24</v>
      </c>
      <c r="L105" s="958"/>
      <c r="M105" s="958"/>
      <c r="N105" s="958"/>
      <c r="O105" s="958"/>
      <c r="P105" s="958"/>
      <c r="Q105" s="958"/>
      <c r="R105" s="958"/>
      <c r="S105" s="958"/>
      <c r="T105" s="958"/>
      <c r="U105" s="958"/>
      <c r="V105" s="958"/>
      <c r="W105" s="958"/>
      <c r="X105" s="958"/>
      <c r="Y105" s="958">
        <v>30</v>
      </c>
      <c r="Z105" s="959">
        <f t="shared" si="102"/>
        <v>105</v>
      </c>
      <c r="AA105" s="959">
        <f t="shared" si="96"/>
        <v>128586.40200000002</v>
      </c>
      <c r="AB105" s="959"/>
      <c r="AC105" s="959"/>
      <c r="AD105" s="958">
        <f t="shared" si="97"/>
        <v>12246.324000000001</v>
      </c>
      <c r="AE105" s="958">
        <f t="shared" si="98"/>
        <v>263295.96600000001</v>
      </c>
      <c r="AF105" s="958">
        <f t="shared" si="99"/>
        <v>3159551.5920000002</v>
      </c>
      <c r="AG105" s="958">
        <f t="shared" si="100"/>
        <v>122463.24</v>
      </c>
      <c r="AH105" s="958">
        <f t="shared" si="101"/>
        <v>3282014.8320000004</v>
      </c>
      <c r="AI105" s="1020"/>
      <c r="AJ105" s="1020"/>
      <c r="AK105" s="1021"/>
      <c r="AL105" s="1021"/>
      <c r="AM105" s="1013"/>
      <c r="AN105" s="1013"/>
      <c r="AO105" s="1013"/>
      <c r="AP105" s="1013"/>
      <c r="AQ105" s="1013"/>
      <c r="AR105" s="1013"/>
      <c r="AS105" s="1013"/>
      <c r="AT105" s="1013"/>
      <c r="AU105" s="1013"/>
      <c r="AV105" s="1013"/>
      <c r="AW105" s="1013"/>
      <c r="AX105" s="1013"/>
      <c r="AY105" s="1013"/>
      <c r="AZ105" s="1013"/>
      <c r="BA105" s="1013"/>
      <c r="BB105" s="1013"/>
      <c r="BC105" s="1013"/>
      <c r="BD105" s="1013"/>
      <c r="BE105" s="1013"/>
      <c r="BF105" s="1013"/>
      <c r="BG105" s="1013"/>
      <c r="BH105" s="1013"/>
      <c r="BI105" s="1013"/>
      <c r="BJ105" s="1013"/>
      <c r="BK105" s="1013"/>
      <c r="BL105" s="1013"/>
      <c r="BM105" s="1013"/>
      <c r="BN105" s="1013"/>
      <c r="BO105" s="1013"/>
      <c r="BP105" s="1013"/>
      <c r="BQ105" s="1013"/>
      <c r="BR105" s="1013"/>
      <c r="BS105" s="1013"/>
      <c r="BT105" s="1013"/>
      <c r="BU105" s="1013"/>
      <c r="BV105" s="1013"/>
      <c r="BW105" s="1013"/>
      <c r="BX105" s="1013"/>
      <c r="BY105" s="1013"/>
      <c r="BZ105" s="1013"/>
      <c r="CA105" s="1013"/>
      <c r="CB105" s="1013"/>
      <c r="CC105" s="1013"/>
      <c r="CD105" s="1013"/>
      <c r="CE105" s="1013"/>
      <c r="CF105" s="1013"/>
      <c r="CG105" s="1013"/>
      <c r="CH105" s="1013"/>
      <c r="CI105" s="1013"/>
      <c r="CJ105" s="1013"/>
      <c r="CK105" s="1013"/>
      <c r="CL105" s="1013"/>
      <c r="CM105" s="1013"/>
      <c r="CN105" s="1013"/>
      <c r="CO105" s="1013"/>
      <c r="CP105" s="1013"/>
      <c r="CQ105" s="1013"/>
      <c r="CR105" s="1013"/>
      <c r="CS105" s="1013"/>
      <c r="CT105" s="1013"/>
      <c r="CU105" s="1013"/>
      <c r="CV105" s="1013"/>
      <c r="CW105" s="1013"/>
      <c r="CX105" s="1013"/>
      <c r="CY105" s="1013"/>
      <c r="CZ105" s="1013"/>
      <c r="DA105" s="1013"/>
      <c r="DB105" s="1013"/>
      <c r="DC105" s="1013"/>
      <c r="DD105" s="1013"/>
      <c r="DE105" s="1013"/>
      <c r="DF105" s="1013"/>
      <c r="DG105" s="1013"/>
      <c r="DH105" s="1013"/>
      <c r="DI105" s="1013"/>
      <c r="DJ105" s="1013"/>
      <c r="DK105" s="1013"/>
      <c r="DL105" s="1013"/>
      <c r="DM105" s="1013"/>
      <c r="DN105" s="1013"/>
      <c r="DO105" s="1013"/>
      <c r="DP105" s="1013"/>
      <c r="DQ105" s="1013"/>
      <c r="DR105" s="1013"/>
      <c r="DS105" s="1013"/>
      <c r="DT105" s="1013"/>
      <c r="DU105" s="1013"/>
      <c r="DV105" s="1013"/>
      <c r="DW105" s="1013"/>
      <c r="DX105" s="1013"/>
      <c r="DY105" s="1013"/>
      <c r="DZ105" s="1013"/>
      <c r="EA105" s="1013"/>
      <c r="EB105" s="1013"/>
      <c r="EC105" s="1013"/>
      <c r="ED105" s="1013"/>
      <c r="EE105" s="1013"/>
      <c r="EF105" s="1013"/>
      <c r="EG105" s="1013"/>
      <c r="EH105" s="1013"/>
      <c r="EI105" s="1013"/>
      <c r="EJ105" s="1013"/>
      <c r="EK105" s="1013"/>
      <c r="EL105" s="1013"/>
      <c r="EM105" s="1013"/>
      <c r="EN105" s="1013"/>
      <c r="EO105" s="1013"/>
      <c r="EP105" s="1013"/>
      <c r="EQ105" s="1013"/>
      <c r="ER105" s="1013"/>
      <c r="ES105" s="1013"/>
      <c r="ET105" s="1013"/>
      <c r="EU105" s="1013"/>
      <c r="EV105" s="1013"/>
      <c r="EW105" s="1013"/>
      <c r="EX105" s="1013"/>
      <c r="EY105" s="1013"/>
      <c r="EZ105" s="1013"/>
      <c r="FA105" s="1013"/>
      <c r="FB105" s="1013"/>
      <c r="FC105" s="1013"/>
      <c r="FD105" s="1013"/>
      <c r="FE105" s="1013"/>
      <c r="FF105" s="1013"/>
      <c r="FG105" s="1013"/>
      <c r="FH105" s="1013"/>
      <c r="FI105" s="1013"/>
      <c r="FJ105" s="1013"/>
      <c r="FK105" s="1013"/>
      <c r="FL105" s="1013"/>
      <c r="FM105" s="1013"/>
      <c r="FN105" s="1013"/>
      <c r="FO105" s="1013"/>
      <c r="FP105" s="1013"/>
      <c r="FQ105" s="1013"/>
      <c r="FR105" s="1013"/>
      <c r="FS105" s="1013"/>
      <c r="FT105" s="1013"/>
      <c r="FU105" s="1013"/>
      <c r="FV105" s="1013"/>
      <c r="FW105" s="1013"/>
      <c r="FX105" s="1013"/>
      <c r="FY105" s="1013"/>
      <c r="FZ105" s="1013"/>
      <c r="GA105" s="1013"/>
      <c r="GB105" s="1013"/>
      <c r="GC105" s="1013"/>
      <c r="GD105" s="1013"/>
      <c r="GE105" s="1013"/>
      <c r="GF105" s="1013"/>
      <c r="GG105" s="1013"/>
      <c r="GH105" s="1013"/>
      <c r="GI105" s="1013"/>
      <c r="GJ105" s="1013"/>
      <c r="GK105" s="1013"/>
      <c r="GL105" s="1013"/>
      <c r="GM105" s="1013"/>
      <c r="GN105" s="1013"/>
      <c r="GO105" s="1013"/>
      <c r="GP105" s="1013"/>
      <c r="GQ105" s="1013"/>
      <c r="GR105" s="1013"/>
      <c r="GS105" s="1013"/>
      <c r="GT105" s="1013"/>
      <c r="GU105" s="1013"/>
      <c r="GV105" s="1013"/>
      <c r="GW105" s="1013"/>
      <c r="GX105" s="1013"/>
      <c r="GY105" s="1013"/>
      <c r="GZ105" s="1013"/>
      <c r="HA105" s="1013"/>
    </row>
    <row r="106" spans="1:209" s="1003" customFormat="1" ht="43.5" customHeight="1">
      <c r="A106" s="950">
        <v>6</v>
      </c>
      <c r="B106" s="951" t="s">
        <v>770</v>
      </c>
      <c r="C106" s="995" t="s">
        <v>771</v>
      </c>
      <c r="D106" s="953" t="s">
        <v>173</v>
      </c>
      <c r="E106" s="954">
        <v>1</v>
      </c>
      <c r="F106" s="994" t="s">
        <v>162</v>
      </c>
      <c r="G106" s="983">
        <v>3.43</v>
      </c>
      <c r="H106" s="957">
        <v>17697</v>
      </c>
      <c r="I106" s="955">
        <v>2</v>
      </c>
      <c r="J106" s="958"/>
      <c r="K106" s="958">
        <f t="shared" si="95"/>
        <v>121401.42000000001</v>
      </c>
      <c r="L106" s="958"/>
      <c r="M106" s="958"/>
      <c r="N106" s="958"/>
      <c r="O106" s="958"/>
      <c r="P106" s="958"/>
      <c r="Q106" s="958"/>
      <c r="R106" s="958"/>
      <c r="S106" s="958"/>
      <c r="T106" s="958"/>
      <c r="U106" s="958"/>
      <c r="V106" s="958"/>
      <c r="W106" s="958"/>
      <c r="X106" s="958"/>
      <c r="Y106" s="958">
        <v>30</v>
      </c>
      <c r="Z106" s="959">
        <f t="shared" si="102"/>
        <v>105</v>
      </c>
      <c r="AA106" s="959">
        <f t="shared" si="96"/>
        <v>127471.49100000002</v>
      </c>
      <c r="AB106" s="959"/>
      <c r="AC106" s="959"/>
      <c r="AD106" s="958">
        <f t="shared" si="97"/>
        <v>12140.142000000002</v>
      </c>
      <c r="AE106" s="958">
        <f t="shared" si="98"/>
        <v>261013.05300000001</v>
      </c>
      <c r="AF106" s="958">
        <f t="shared" si="99"/>
        <v>3132156.6359999999</v>
      </c>
      <c r="AG106" s="958">
        <f t="shared" si="100"/>
        <v>121401.42000000001</v>
      </c>
      <c r="AH106" s="958">
        <f t="shared" si="101"/>
        <v>3253558.0559999999</v>
      </c>
      <c r="AI106" s="1020"/>
      <c r="AJ106" s="1020"/>
      <c r="AK106" s="1021"/>
      <c r="AL106" s="1021"/>
      <c r="AM106" s="1013"/>
      <c r="AN106" s="1013"/>
      <c r="AO106" s="1013"/>
      <c r="AP106" s="1013"/>
      <c r="AQ106" s="1013"/>
      <c r="AR106" s="1013"/>
      <c r="AS106" s="1013"/>
      <c r="AT106" s="1013"/>
      <c r="AU106" s="1013"/>
      <c r="AV106" s="1013"/>
      <c r="AW106" s="1013"/>
      <c r="AX106" s="1013"/>
      <c r="AY106" s="1013"/>
      <c r="AZ106" s="1013"/>
      <c r="BA106" s="1013"/>
      <c r="BB106" s="1013"/>
      <c r="BC106" s="1013"/>
      <c r="BD106" s="1013"/>
      <c r="BE106" s="1013"/>
      <c r="BF106" s="1013"/>
      <c r="BG106" s="1013"/>
      <c r="BH106" s="1013"/>
      <c r="BI106" s="1013"/>
      <c r="BJ106" s="1013"/>
      <c r="BK106" s="1013"/>
      <c r="BL106" s="1013"/>
      <c r="BM106" s="1013"/>
      <c r="BN106" s="1013"/>
      <c r="BO106" s="1013"/>
      <c r="BP106" s="1013"/>
      <c r="BQ106" s="1013"/>
      <c r="BR106" s="1013"/>
      <c r="BS106" s="1013"/>
      <c r="BT106" s="1013"/>
      <c r="BU106" s="1013"/>
      <c r="BV106" s="1013"/>
      <c r="BW106" s="1013"/>
      <c r="BX106" s="1013"/>
      <c r="BY106" s="1013"/>
      <c r="BZ106" s="1013"/>
      <c r="CA106" s="1013"/>
      <c r="CB106" s="1013"/>
      <c r="CC106" s="1013"/>
      <c r="CD106" s="1013"/>
      <c r="CE106" s="1013"/>
      <c r="CF106" s="1013"/>
      <c r="CG106" s="1013"/>
      <c r="CH106" s="1013"/>
      <c r="CI106" s="1013"/>
      <c r="CJ106" s="1013"/>
      <c r="CK106" s="1013"/>
      <c r="CL106" s="1013"/>
      <c r="CM106" s="1013"/>
      <c r="CN106" s="1013"/>
      <c r="CO106" s="1013"/>
      <c r="CP106" s="1013"/>
      <c r="CQ106" s="1013"/>
      <c r="CR106" s="1013"/>
      <c r="CS106" s="1013"/>
      <c r="CT106" s="1013"/>
      <c r="CU106" s="1013"/>
      <c r="CV106" s="1013"/>
      <c r="CW106" s="1013"/>
      <c r="CX106" s="1013"/>
      <c r="CY106" s="1013"/>
      <c r="CZ106" s="1013"/>
      <c r="DA106" s="1013"/>
      <c r="DB106" s="1013"/>
      <c r="DC106" s="1013"/>
      <c r="DD106" s="1013"/>
      <c r="DE106" s="1013"/>
      <c r="DF106" s="1013"/>
      <c r="DG106" s="1013"/>
      <c r="DH106" s="1013"/>
      <c r="DI106" s="1013"/>
      <c r="DJ106" s="1013"/>
      <c r="DK106" s="1013"/>
      <c r="DL106" s="1013"/>
      <c r="DM106" s="1013"/>
      <c r="DN106" s="1013"/>
      <c r="DO106" s="1013"/>
      <c r="DP106" s="1013"/>
      <c r="DQ106" s="1013"/>
      <c r="DR106" s="1013"/>
      <c r="DS106" s="1013"/>
      <c r="DT106" s="1013"/>
      <c r="DU106" s="1013"/>
      <c r="DV106" s="1013"/>
      <c r="DW106" s="1013"/>
      <c r="DX106" s="1013"/>
      <c r="DY106" s="1013"/>
      <c r="DZ106" s="1013"/>
      <c r="EA106" s="1013"/>
      <c r="EB106" s="1013"/>
      <c r="EC106" s="1013"/>
      <c r="ED106" s="1013"/>
      <c r="EE106" s="1013"/>
      <c r="EF106" s="1013"/>
      <c r="EG106" s="1013"/>
      <c r="EH106" s="1013"/>
      <c r="EI106" s="1013"/>
      <c r="EJ106" s="1013"/>
      <c r="EK106" s="1013"/>
      <c r="EL106" s="1013"/>
      <c r="EM106" s="1013"/>
      <c r="EN106" s="1013"/>
      <c r="EO106" s="1013"/>
      <c r="EP106" s="1013"/>
      <c r="EQ106" s="1013"/>
      <c r="ER106" s="1013"/>
      <c r="ES106" s="1013"/>
      <c r="ET106" s="1013"/>
      <c r="EU106" s="1013"/>
      <c r="EV106" s="1013"/>
      <c r="EW106" s="1013"/>
      <c r="EX106" s="1013"/>
      <c r="EY106" s="1013"/>
      <c r="EZ106" s="1013"/>
      <c r="FA106" s="1013"/>
      <c r="FB106" s="1013"/>
      <c r="FC106" s="1013"/>
      <c r="FD106" s="1013"/>
      <c r="FE106" s="1013"/>
      <c r="FF106" s="1013"/>
      <c r="FG106" s="1013"/>
      <c r="FH106" s="1013"/>
      <c r="FI106" s="1013"/>
      <c r="FJ106" s="1013"/>
      <c r="FK106" s="1013"/>
      <c r="FL106" s="1013"/>
      <c r="FM106" s="1013"/>
      <c r="FN106" s="1013"/>
      <c r="FO106" s="1013"/>
      <c r="FP106" s="1013"/>
      <c r="FQ106" s="1013"/>
      <c r="FR106" s="1013"/>
      <c r="FS106" s="1013"/>
      <c r="FT106" s="1013"/>
      <c r="FU106" s="1013"/>
      <c r="FV106" s="1013"/>
      <c r="FW106" s="1013"/>
      <c r="FX106" s="1013"/>
      <c r="FY106" s="1013"/>
      <c r="FZ106" s="1013"/>
      <c r="GA106" s="1013"/>
      <c r="GB106" s="1013"/>
      <c r="GC106" s="1013"/>
      <c r="GD106" s="1013"/>
      <c r="GE106" s="1013"/>
      <c r="GF106" s="1013"/>
      <c r="GG106" s="1013"/>
      <c r="GH106" s="1013"/>
      <c r="GI106" s="1013"/>
      <c r="GJ106" s="1013"/>
      <c r="GK106" s="1013"/>
      <c r="GL106" s="1013"/>
      <c r="GM106" s="1013"/>
      <c r="GN106" s="1013"/>
      <c r="GO106" s="1013"/>
      <c r="GP106" s="1013"/>
      <c r="GQ106" s="1013"/>
      <c r="GR106" s="1013"/>
      <c r="GS106" s="1013"/>
      <c r="GT106" s="1013"/>
      <c r="GU106" s="1013"/>
      <c r="GV106" s="1013"/>
      <c r="GW106" s="1013"/>
      <c r="GX106" s="1013"/>
      <c r="GY106" s="1013"/>
      <c r="GZ106" s="1013"/>
      <c r="HA106" s="1013"/>
    </row>
    <row r="107" spans="1:209" s="1003" customFormat="1" ht="43.5" customHeight="1">
      <c r="A107" s="950">
        <v>7</v>
      </c>
      <c r="B107" s="951" t="s">
        <v>770</v>
      </c>
      <c r="C107" s="995" t="s">
        <v>771</v>
      </c>
      <c r="D107" s="953" t="s">
        <v>173</v>
      </c>
      <c r="E107" s="954">
        <v>1</v>
      </c>
      <c r="F107" s="994" t="s">
        <v>582</v>
      </c>
      <c r="G107" s="983">
        <v>3.35</v>
      </c>
      <c r="H107" s="957">
        <v>17697</v>
      </c>
      <c r="I107" s="955">
        <v>2</v>
      </c>
      <c r="J107" s="958"/>
      <c r="K107" s="958">
        <f t="shared" si="95"/>
        <v>118569.90000000001</v>
      </c>
      <c r="L107" s="958"/>
      <c r="M107" s="958"/>
      <c r="N107" s="958"/>
      <c r="O107" s="958"/>
      <c r="P107" s="958"/>
      <c r="Q107" s="958"/>
      <c r="R107" s="958"/>
      <c r="S107" s="958"/>
      <c r="T107" s="958"/>
      <c r="U107" s="958"/>
      <c r="V107" s="958"/>
      <c r="W107" s="958"/>
      <c r="X107" s="958"/>
      <c r="Y107" s="958">
        <v>30</v>
      </c>
      <c r="Z107" s="959">
        <f t="shared" si="102"/>
        <v>105</v>
      </c>
      <c r="AA107" s="959">
        <f t="shared" si="96"/>
        <v>124498.39500000002</v>
      </c>
      <c r="AB107" s="959"/>
      <c r="AC107" s="959"/>
      <c r="AD107" s="958">
        <f t="shared" si="97"/>
        <v>11856.990000000002</v>
      </c>
      <c r="AE107" s="958">
        <f t="shared" si="98"/>
        <v>254925.28500000003</v>
      </c>
      <c r="AF107" s="958">
        <f t="shared" si="99"/>
        <v>3059103.4200000004</v>
      </c>
      <c r="AG107" s="958">
        <f t="shared" si="100"/>
        <v>118569.90000000001</v>
      </c>
      <c r="AH107" s="958">
        <f t="shared" si="101"/>
        <v>3177673.3200000003</v>
      </c>
      <c r="AI107" s="1020"/>
      <c r="AJ107" s="1020"/>
      <c r="AK107" s="1021"/>
      <c r="AL107" s="1021"/>
      <c r="AM107" s="1013"/>
      <c r="AN107" s="1013"/>
      <c r="AO107" s="1013"/>
      <c r="AP107" s="1013"/>
      <c r="AQ107" s="1013"/>
      <c r="AR107" s="1013"/>
      <c r="AS107" s="1013"/>
      <c r="AT107" s="1013"/>
      <c r="AU107" s="1013"/>
      <c r="AV107" s="1013"/>
      <c r="AW107" s="1013"/>
      <c r="AX107" s="1013"/>
      <c r="AY107" s="1013"/>
      <c r="AZ107" s="1013"/>
      <c r="BA107" s="1013"/>
      <c r="BB107" s="1013"/>
      <c r="BC107" s="1013"/>
      <c r="BD107" s="1013"/>
      <c r="BE107" s="1013"/>
      <c r="BF107" s="1013"/>
      <c r="BG107" s="1013"/>
      <c r="BH107" s="1013"/>
      <c r="BI107" s="1013"/>
      <c r="BJ107" s="1013"/>
      <c r="BK107" s="1013"/>
      <c r="BL107" s="1013"/>
      <c r="BM107" s="1013"/>
      <c r="BN107" s="1013"/>
      <c r="BO107" s="1013"/>
      <c r="BP107" s="1013"/>
      <c r="BQ107" s="1013"/>
      <c r="BR107" s="1013"/>
      <c r="BS107" s="1013"/>
      <c r="BT107" s="1013"/>
      <c r="BU107" s="1013"/>
      <c r="BV107" s="1013"/>
      <c r="BW107" s="1013"/>
      <c r="BX107" s="1013"/>
      <c r="BY107" s="1013"/>
      <c r="BZ107" s="1013"/>
      <c r="CA107" s="1013"/>
      <c r="CB107" s="1013"/>
      <c r="CC107" s="1013"/>
      <c r="CD107" s="1013"/>
      <c r="CE107" s="1013"/>
      <c r="CF107" s="1013"/>
      <c r="CG107" s="1013"/>
      <c r="CH107" s="1013"/>
      <c r="CI107" s="1013"/>
      <c r="CJ107" s="1013"/>
      <c r="CK107" s="1013"/>
      <c r="CL107" s="1013"/>
      <c r="CM107" s="1013"/>
      <c r="CN107" s="1013"/>
      <c r="CO107" s="1013"/>
      <c r="CP107" s="1013"/>
      <c r="CQ107" s="1013"/>
      <c r="CR107" s="1013"/>
      <c r="CS107" s="1013"/>
      <c r="CT107" s="1013"/>
      <c r="CU107" s="1013"/>
      <c r="CV107" s="1013"/>
      <c r="CW107" s="1013"/>
      <c r="CX107" s="1013"/>
      <c r="CY107" s="1013"/>
      <c r="CZ107" s="1013"/>
      <c r="DA107" s="1013"/>
      <c r="DB107" s="1013"/>
      <c r="DC107" s="1013"/>
      <c r="DD107" s="1013"/>
      <c r="DE107" s="1013"/>
      <c r="DF107" s="1013"/>
      <c r="DG107" s="1013"/>
      <c r="DH107" s="1013"/>
      <c r="DI107" s="1013"/>
      <c r="DJ107" s="1013"/>
      <c r="DK107" s="1013"/>
      <c r="DL107" s="1013"/>
      <c r="DM107" s="1013"/>
      <c r="DN107" s="1013"/>
      <c r="DO107" s="1013"/>
      <c r="DP107" s="1013"/>
      <c r="DQ107" s="1013"/>
      <c r="DR107" s="1013"/>
      <c r="DS107" s="1013"/>
      <c r="DT107" s="1013"/>
      <c r="DU107" s="1013"/>
      <c r="DV107" s="1013"/>
      <c r="DW107" s="1013"/>
      <c r="DX107" s="1013"/>
      <c r="DY107" s="1013"/>
      <c r="DZ107" s="1013"/>
      <c r="EA107" s="1013"/>
      <c r="EB107" s="1013"/>
      <c r="EC107" s="1013"/>
      <c r="ED107" s="1013"/>
      <c r="EE107" s="1013"/>
      <c r="EF107" s="1013"/>
      <c r="EG107" s="1013"/>
      <c r="EH107" s="1013"/>
      <c r="EI107" s="1013"/>
      <c r="EJ107" s="1013"/>
      <c r="EK107" s="1013"/>
      <c r="EL107" s="1013"/>
      <c r="EM107" s="1013"/>
      <c r="EN107" s="1013"/>
      <c r="EO107" s="1013"/>
      <c r="EP107" s="1013"/>
      <c r="EQ107" s="1013"/>
      <c r="ER107" s="1013"/>
      <c r="ES107" s="1013"/>
      <c r="ET107" s="1013"/>
      <c r="EU107" s="1013"/>
      <c r="EV107" s="1013"/>
      <c r="EW107" s="1013"/>
      <c r="EX107" s="1013"/>
      <c r="EY107" s="1013"/>
      <c r="EZ107" s="1013"/>
      <c r="FA107" s="1013"/>
      <c r="FB107" s="1013"/>
      <c r="FC107" s="1013"/>
      <c r="FD107" s="1013"/>
      <c r="FE107" s="1013"/>
      <c r="FF107" s="1013"/>
      <c r="FG107" s="1013"/>
      <c r="FH107" s="1013"/>
      <c r="FI107" s="1013"/>
      <c r="FJ107" s="1013"/>
      <c r="FK107" s="1013"/>
      <c r="FL107" s="1013"/>
      <c r="FM107" s="1013"/>
      <c r="FN107" s="1013"/>
      <c r="FO107" s="1013"/>
      <c r="FP107" s="1013"/>
      <c r="FQ107" s="1013"/>
      <c r="FR107" s="1013"/>
      <c r="FS107" s="1013"/>
      <c r="FT107" s="1013"/>
      <c r="FU107" s="1013"/>
      <c r="FV107" s="1013"/>
      <c r="FW107" s="1013"/>
      <c r="FX107" s="1013"/>
      <c r="FY107" s="1013"/>
      <c r="FZ107" s="1013"/>
      <c r="GA107" s="1013"/>
      <c r="GB107" s="1013"/>
      <c r="GC107" s="1013"/>
      <c r="GD107" s="1013"/>
      <c r="GE107" s="1013"/>
      <c r="GF107" s="1013"/>
      <c r="GG107" s="1013"/>
      <c r="GH107" s="1013"/>
      <c r="GI107" s="1013"/>
      <c r="GJ107" s="1013"/>
      <c r="GK107" s="1013"/>
      <c r="GL107" s="1013"/>
      <c r="GM107" s="1013"/>
      <c r="GN107" s="1013"/>
      <c r="GO107" s="1013"/>
      <c r="GP107" s="1013"/>
      <c r="GQ107" s="1013"/>
      <c r="GR107" s="1013"/>
      <c r="GS107" s="1013"/>
      <c r="GT107" s="1013"/>
      <c r="GU107" s="1013"/>
      <c r="GV107" s="1013"/>
      <c r="GW107" s="1013"/>
      <c r="GX107" s="1013"/>
      <c r="GY107" s="1013"/>
      <c r="GZ107" s="1013"/>
      <c r="HA107" s="1013"/>
    </row>
    <row r="108" spans="1:209" s="1003" customFormat="1" ht="43.5" customHeight="1">
      <c r="A108" s="950">
        <v>8</v>
      </c>
      <c r="B108" s="951" t="s">
        <v>770</v>
      </c>
      <c r="C108" s="995" t="s">
        <v>771</v>
      </c>
      <c r="D108" s="953" t="s">
        <v>173</v>
      </c>
      <c r="E108" s="954">
        <v>1</v>
      </c>
      <c r="F108" s="958" t="s">
        <v>772</v>
      </c>
      <c r="G108" s="983">
        <v>3.31</v>
      </c>
      <c r="H108" s="957">
        <v>17697</v>
      </c>
      <c r="I108" s="955">
        <v>2</v>
      </c>
      <c r="J108" s="958"/>
      <c r="K108" s="958">
        <f t="shared" si="95"/>
        <v>117154.14</v>
      </c>
      <c r="L108" s="958"/>
      <c r="M108" s="958"/>
      <c r="N108" s="958"/>
      <c r="O108" s="958"/>
      <c r="P108" s="958"/>
      <c r="Q108" s="958"/>
      <c r="R108" s="958"/>
      <c r="S108" s="958"/>
      <c r="T108" s="958"/>
      <c r="U108" s="958"/>
      <c r="V108" s="958"/>
      <c r="W108" s="958"/>
      <c r="X108" s="958"/>
      <c r="Y108" s="958">
        <v>30</v>
      </c>
      <c r="Z108" s="959">
        <f t="shared" si="102"/>
        <v>105</v>
      </c>
      <c r="AA108" s="959">
        <f t="shared" si="96"/>
        <v>123011.84700000001</v>
      </c>
      <c r="AB108" s="959"/>
      <c r="AC108" s="959"/>
      <c r="AD108" s="958">
        <f t="shared" si="97"/>
        <v>11715.414000000001</v>
      </c>
      <c r="AE108" s="958">
        <f t="shared" si="98"/>
        <v>251881.40100000001</v>
      </c>
      <c r="AF108" s="958">
        <f t="shared" si="99"/>
        <v>3022576.8119999999</v>
      </c>
      <c r="AG108" s="958">
        <f t="shared" si="100"/>
        <v>117154.14</v>
      </c>
      <c r="AH108" s="958">
        <f t="shared" si="101"/>
        <v>3139730.952</v>
      </c>
      <c r="AI108" s="1020"/>
      <c r="AJ108" s="1020"/>
      <c r="AK108" s="1021"/>
      <c r="AL108" s="1021"/>
      <c r="AM108" s="1013"/>
      <c r="AN108" s="1013"/>
      <c r="AO108" s="1013"/>
      <c r="AP108" s="1013"/>
      <c r="AQ108" s="1013"/>
      <c r="AR108" s="1013"/>
      <c r="AS108" s="1013"/>
      <c r="AT108" s="1013"/>
      <c r="AU108" s="1013"/>
      <c r="AV108" s="1013"/>
      <c r="AW108" s="1013"/>
      <c r="AX108" s="1013"/>
      <c r="AY108" s="1013"/>
      <c r="AZ108" s="1013"/>
      <c r="BA108" s="1013"/>
      <c r="BB108" s="1013"/>
      <c r="BC108" s="1013"/>
      <c r="BD108" s="1013"/>
      <c r="BE108" s="1013"/>
      <c r="BF108" s="1013"/>
      <c r="BG108" s="1013"/>
      <c r="BH108" s="1013"/>
      <c r="BI108" s="1013"/>
      <c r="BJ108" s="1013"/>
      <c r="BK108" s="1013"/>
      <c r="BL108" s="1013"/>
      <c r="BM108" s="1013"/>
      <c r="BN108" s="1013"/>
      <c r="BO108" s="1013"/>
      <c r="BP108" s="1013"/>
      <c r="BQ108" s="1013"/>
      <c r="BR108" s="1013"/>
      <c r="BS108" s="1013"/>
      <c r="BT108" s="1013"/>
      <c r="BU108" s="1013"/>
      <c r="BV108" s="1013"/>
      <c r="BW108" s="1013"/>
      <c r="BX108" s="1013"/>
      <c r="BY108" s="1013"/>
      <c r="BZ108" s="1013"/>
      <c r="CA108" s="1013"/>
      <c r="CB108" s="1013"/>
      <c r="CC108" s="1013"/>
      <c r="CD108" s="1013"/>
      <c r="CE108" s="1013"/>
      <c r="CF108" s="1013"/>
      <c r="CG108" s="1013"/>
      <c r="CH108" s="1013"/>
      <c r="CI108" s="1013"/>
      <c r="CJ108" s="1013"/>
      <c r="CK108" s="1013"/>
      <c r="CL108" s="1013"/>
      <c r="CM108" s="1013"/>
      <c r="CN108" s="1013"/>
      <c r="CO108" s="1013"/>
      <c r="CP108" s="1013"/>
      <c r="CQ108" s="1013"/>
      <c r="CR108" s="1013"/>
      <c r="CS108" s="1013"/>
      <c r="CT108" s="1013"/>
      <c r="CU108" s="1013"/>
      <c r="CV108" s="1013"/>
      <c r="CW108" s="1013"/>
      <c r="CX108" s="1013"/>
      <c r="CY108" s="1013"/>
      <c r="CZ108" s="1013"/>
      <c r="DA108" s="1013"/>
      <c r="DB108" s="1013"/>
      <c r="DC108" s="1013"/>
      <c r="DD108" s="1013"/>
      <c r="DE108" s="1013"/>
      <c r="DF108" s="1013"/>
      <c r="DG108" s="1013"/>
      <c r="DH108" s="1013"/>
      <c r="DI108" s="1013"/>
      <c r="DJ108" s="1013"/>
      <c r="DK108" s="1013"/>
      <c r="DL108" s="1013"/>
      <c r="DM108" s="1013"/>
      <c r="DN108" s="1013"/>
      <c r="DO108" s="1013"/>
      <c r="DP108" s="1013"/>
      <c r="DQ108" s="1013"/>
      <c r="DR108" s="1013"/>
      <c r="DS108" s="1013"/>
      <c r="DT108" s="1013"/>
      <c r="DU108" s="1013"/>
      <c r="DV108" s="1013"/>
      <c r="DW108" s="1013"/>
      <c r="DX108" s="1013"/>
      <c r="DY108" s="1013"/>
      <c r="DZ108" s="1013"/>
      <c r="EA108" s="1013"/>
      <c r="EB108" s="1013"/>
      <c r="EC108" s="1013"/>
      <c r="ED108" s="1013"/>
      <c r="EE108" s="1013"/>
      <c r="EF108" s="1013"/>
      <c r="EG108" s="1013"/>
      <c r="EH108" s="1013"/>
      <c r="EI108" s="1013"/>
      <c r="EJ108" s="1013"/>
      <c r="EK108" s="1013"/>
      <c r="EL108" s="1013"/>
      <c r="EM108" s="1013"/>
      <c r="EN108" s="1013"/>
      <c r="EO108" s="1013"/>
      <c r="EP108" s="1013"/>
      <c r="EQ108" s="1013"/>
      <c r="ER108" s="1013"/>
      <c r="ES108" s="1013"/>
      <c r="ET108" s="1013"/>
      <c r="EU108" s="1013"/>
      <c r="EV108" s="1013"/>
      <c r="EW108" s="1013"/>
      <c r="EX108" s="1013"/>
      <c r="EY108" s="1013"/>
      <c r="EZ108" s="1013"/>
      <c r="FA108" s="1013"/>
      <c r="FB108" s="1013"/>
      <c r="FC108" s="1013"/>
      <c r="FD108" s="1013"/>
      <c r="FE108" s="1013"/>
      <c r="FF108" s="1013"/>
      <c r="FG108" s="1013"/>
      <c r="FH108" s="1013"/>
      <c r="FI108" s="1013"/>
      <c r="FJ108" s="1013"/>
      <c r="FK108" s="1013"/>
      <c r="FL108" s="1013"/>
      <c r="FM108" s="1013"/>
      <c r="FN108" s="1013"/>
      <c r="FO108" s="1013"/>
      <c r="FP108" s="1013"/>
      <c r="FQ108" s="1013"/>
      <c r="FR108" s="1013"/>
      <c r="FS108" s="1013"/>
      <c r="FT108" s="1013"/>
      <c r="FU108" s="1013"/>
      <c r="FV108" s="1013"/>
      <c r="FW108" s="1013"/>
      <c r="FX108" s="1013"/>
      <c r="FY108" s="1013"/>
      <c r="FZ108" s="1013"/>
      <c r="GA108" s="1013"/>
      <c r="GB108" s="1013"/>
      <c r="GC108" s="1013"/>
      <c r="GD108" s="1013"/>
      <c r="GE108" s="1013"/>
      <c r="GF108" s="1013"/>
      <c r="GG108" s="1013"/>
      <c r="GH108" s="1013"/>
      <c r="GI108" s="1013"/>
      <c r="GJ108" s="1013"/>
      <c r="GK108" s="1013"/>
      <c r="GL108" s="1013"/>
      <c r="GM108" s="1013"/>
      <c r="GN108" s="1013"/>
      <c r="GO108" s="1013"/>
      <c r="GP108" s="1013"/>
      <c r="GQ108" s="1013"/>
      <c r="GR108" s="1013"/>
      <c r="GS108" s="1013"/>
      <c r="GT108" s="1013"/>
      <c r="GU108" s="1013"/>
      <c r="GV108" s="1013"/>
      <c r="GW108" s="1013"/>
      <c r="GX108" s="1013"/>
      <c r="GY108" s="1013"/>
      <c r="GZ108" s="1013"/>
      <c r="HA108" s="1013"/>
    </row>
    <row r="109" spans="1:209" s="1003" customFormat="1" ht="30.75" customHeight="1">
      <c r="A109" s="950">
        <v>9</v>
      </c>
      <c r="B109" s="951" t="s">
        <v>773</v>
      </c>
      <c r="C109" s="997" t="s">
        <v>774</v>
      </c>
      <c r="D109" s="994">
        <v>4</v>
      </c>
      <c r="E109" s="954">
        <v>2</v>
      </c>
      <c r="F109" s="955" t="s">
        <v>775</v>
      </c>
      <c r="G109" s="953">
        <v>2.9</v>
      </c>
      <c r="H109" s="957">
        <v>17697</v>
      </c>
      <c r="I109" s="955">
        <v>2</v>
      </c>
      <c r="J109" s="958"/>
      <c r="K109" s="958">
        <f t="shared" si="95"/>
        <v>205285.19999999998</v>
      </c>
      <c r="L109" s="958">
        <v>5</v>
      </c>
      <c r="M109" s="958"/>
      <c r="N109" s="958"/>
      <c r="O109" s="958"/>
      <c r="P109" s="958"/>
      <c r="Q109" s="958"/>
      <c r="R109" s="958"/>
      <c r="S109" s="958"/>
      <c r="T109" s="958"/>
      <c r="U109" s="958"/>
      <c r="V109" s="958"/>
      <c r="W109" s="958"/>
      <c r="X109" s="958"/>
      <c r="Y109" s="958"/>
      <c r="Z109" s="958"/>
      <c r="AA109" s="959"/>
      <c r="AB109" s="959"/>
      <c r="AC109" s="959"/>
      <c r="AD109" s="958">
        <f t="shared" si="97"/>
        <v>20528.52</v>
      </c>
      <c r="AE109" s="958">
        <f t="shared" si="98"/>
        <v>225813.71999999997</v>
      </c>
      <c r="AF109" s="958">
        <f t="shared" si="99"/>
        <v>2709764.6399999997</v>
      </c>
      <c r="AG109" s="958">
        <f t="shared" si="100"/>
        <v>205285.19999999998</v>
      </c>
      <c r="AH109" s="958">
        <f t="shared" si="101"/>
        <v>2915049.84</v>
      </c>
      <c r="AI109" s="1020"/>
      <c r="AJ109" s="1020"/>
      <c r="AK109" s="1021"/>
      <c r="AL109" s="1021"/>
      <c r="AM109" s="1013"/>
      <c r="AN109" s="1013"/>
      <c r="AO109" s="1013"/>
      <c r="AP109" s="1013"/>
      <c r="AQ109" s="1013"/>
      <c r="AR109" s="1013"/>
      <c r="AS109" s="1013"/>
      <c r="AT109" s="1013"/>
      <c r="AU109" s="1013"/>
      <c r="AV109" s="1013"/>
      <c r="AW109" s="1013"/>
      <c r="AX109" s="1013"/>
      <c r="AY109" s="1013"/>
      <c r="AZ109" s="1013"/>
      <c r="BA109" s="1013"/>
      <c r="BB109" s="1013"/>
      <c r="BC109" s="1013"/>
      <c r="BD109" s="1013"/>
      <c r="BE109" s="1013"/>
      <c r="BF109" s="1013"/>
      <c r="BG109" s="1013"/>
      <c r="BH109" s="1013"/>
      <c r="BI109" s="1013"/>
      <c r="BJ109" s="1013"/>
      <c r="BK109" s="1013"/>
      <c r="BL109" s="1013"/>
      <c r="BM109" s="1013"/>
      <c r="BN109" s="1013"/>
      <c r="BO109" s="1013"/>
      <c r="BP109" s="1013"/>
      <c r="BQ109" s="1013"/>
      <c r="BR109" s="1013"/>
      <c r="BS109" s="1013"/>
      <c r="BT109" s="1013"/>
      <c r="BU109" s="1013"/>
      <c r="BV109" s="1013"/>
      <c r="BW109" s="1013"/>
      <c r="BX109" s="1013"/>
      <c r="BY109" s="1013"/>
      <c r="BZ109" s="1013"/>
      <c r="CA109" s="1013"/>
      <c r="CB109" s="1013"/>
      <c r="CC109" s="1013"/>
      <c r="CD109" s="1013"/>
      <c r="CE109" s="1013"/>
      <c r="CF109" s="1013"/>
      <c r="CG109" s="1013"/>
      <c r="CH109" s="1013"/>
      <c r="CI109" s="1013"/>
      <c r="CJ109" s="1013"/>
      <c r="CK109" s="1013"/>
      <c r="CL109" s="1013"/>
      <c r="CM109" s="1013"/>
      <c r="CN109" s="1013"/>
      <c r="CO109" s="1013"/>
      <c r="CP109" s="1013"/>
      <c r="CQ109" s="1013"/>
      <c r="CR109" s="1013"/>
      <c r="CS109" s="1013"/>
      <c r="CT109" s="1013"/>
      <c r="CU109" s="1013"/>
      <c r="CV109" s="1013"/>
      <c r="CW109" s="1013"/>
      <c r="CX109" s="1013"/>
      <c r="CY109" s="1013"/>
      <c r="CZ109" s="1013"/>
      <c r="DA109" s="1013"/>
      <c r="DB109" s="1013"/>
      <c r="DC109" s="1013"/>
      <c r="DD109" s="1013"/>
      <c r="DE109" s="1013"/>
      <c r="DF109" s="1013"/>
      <c r="DG109" s="1013"/>
      <c r="DH109" s="1013"/>
      <c r="DI109" s="1013"/>
      <c r="DJ109" s="1013"/>
      <c r="DK109" s="1013"/>
      <c r="DL109" s="1013"/>
      <c r="DM109" s="1013"/>
      <c r="DN109" s="1013"/>
      <c r="DO109" s="1013"/>
      <c r="DP109" s="1013"/>
      <c r="DQ109" s="1013"/>
      <c r="DR109" s="1013"/>
      <c r="DS109" s="1013"/>
      <c r="DT109" s="1013"/>
      <c r="DU109" s="1013"/>
      <c r="DV109" s="1013"/>
      <c r="DW109" s="1013"/>
      <c r="DX109" s="1013"/>
      <c r="DY109" s="1013"/>
      <c r="DZ109" s="1013"/>
      <c r="EA109" s="1013"/>
      <c r="EB109" s="1013"/>
      <c r="EC109" s="1013"/>
      <c r="ED109" s="1013"/>
      <c r="EE109" s="1013"/>
      <c r="EF109" s="1013"/>
      <c r="EG109" s="1013"/>
      <c r="EH109" s="1013"/>
      <c r="EI109" s="1013"/>
      <c r="EJ109" s="1013"/>
      <c r="EK109" s="1013"/>
      <c r="EL109" s="1013"/>
      <c r="EM109" s="1013"/>
      <c r="EN109" s="1013"/>
      <c r="EO109" s="1013"/>
      <c r="EP109" s="1013"/>
      <c r="EQ109" s="1013"/>
      <c r="ER109" s="1013"/>
      <c r="ES109" s="1013"/>
      <c r="ET109" s="1013"/>
      <c r="EU109" s="1013"/>
      <c r="EV109" s="1013"/>
      <c r="EW109" s="1013"/>
      <c r="EX109" s="1013"/>
      <c r="EY109" s="1013"/>
      <c r="EZ109" s="1013"/>
      <c r="FA109" s="1013"/>
      <c r="FB109" s="1013"/>
      <c r="FC109" s="1013"/>
      <c r="FD109" s="1013"/>
      <c r="FE109" s="1013"/>
      <c r="FF109" s="1013"/>
      <c r="FG109" s="1013"/>
      <c r="FH109" s="1013"/>
      <c r="FI109" s="1013"/>
      <c r="FJ109" s="1013"/>
      <c r="FK109" s="1013"/>
      <c r="FL109" s="1013"/>
      <c r="FM109" s="1013"/>
      <c r="FN109" s="1013"/>
      <c r="FO109" s="1013"/>
      <c r="FP109" s="1013"/>
      <c r="FQ109" s="1013"/>
      <c r="FR109" s="1013"/>
      <c r="FS109" s="1013"/>
      <c r="FT109" s="1013"/>
      <c r="FU109" s="1013"/>
      <c r="FV109" s="1013"/>
      <c r="FW109" s="1013"/>
      <c r="FX109" s="1013"/>
      <c r="FY109" s="1013"/>
      <c r="FZ109" s="1013"/>
      <c r="GA109" s="1013"/>
      <c r="GB109" s="1013"/>
      <c r="GC109" s="1013"/>
      <c r="GD109" s="1013"/>
      <c r="GE109" s="1013"/>
      <c r="GF109" s="1013"/>
      <c r="GG109" s="1013"/>
      <c r="GH109" s="1013"/>
      <c r="GI109" s="1013"/>
      <c r="GJ109" s="1013"/>
      <c r="GK109" s="1013"/>
      <c r="GL109" s="1013"/>
      <c r="GM109" s="1013"/>
      <c r="GN109" s="1013"/>
      <c r="GO109" s="1013"/>
      <c r="GP109" s="1013"/>
      <c r="GQ109" s="1013"/>
      <c r="GR109" s="1013"/>
      <c r="GS109" s="1013"/>
      <c r="GT109" s="1013"/>
      <c r="GU109" s="1013"/>
      <c r="GV109" s="1013"/>
      <c r="GW109" s="1013"/>
      <c r="GX109" s="1013"/>
      <c r="GY109" s="1013"/>
      <c r="GZ109" s="1013"/>
      <c r="HA109" s="1013"/>
    </row>
    <row r="110" spans="1:209" s="1003" customFormat="1" ht="44.25" customHeight="1">
      <c r="A110" s="950">
        <v>10</v>
      </c>
      <c r="B110" s="951" t="s">
        <v>776</v>
      </c>
      <c r="C110" s="952" t="s">
        <v>714</v>
      </c>
      <c r="D110" s="994">
        <v>4</v>
      </c>
      <c r="E110" s="954">
        <v>6</v>
      </c>
      <c r="F110" s="955" t="s">
        <v>775</v>
      </c>
      <c r="G110" s="953">
        <v>2.9</v>
      </c>
      <c r="H110" s="957">
        <v>17697</v>
      </c>
      <c r="I110" s="955">
        <v>2</v>
      </c>
      <c r="J110" s="958"/>
      <c r="K110" s="958">
        <f t="shared" si="95"/>
        <v>615855.6</v>
      </c>
      <c r="L110" s="958">
        <v>6</v>
      </c>
      <c r="M110" s="958"/>
      <c r="N110" s="958"/>
      <c r="O110" s="958"/>
      <c r="P110" s="958"/>
      <c r="Q110" s="958"/>
      <c r="R110" s="958"/>
      <c r="S110" s="958"/>
      <c r="T110" s="958"/>
      <c r="U110" s="958"/>
      <c r="V110" s="958"/>
      <c r="W110" s="958"/>
      <c r="X110" s="958"/>
      <c r="Y110" s="958"/>
      <c r="Z110" s="958"/>
      <c r="AA110" s="959"/>
      <c r="AB110" s="959"/>
      <c r="AC110" s="959"/>
      <c r="AD110" s="958">
        <f t="shared" si="97"/>
        <v>61585.56</v>
      </c>
      <c r="AE110" s="958">
        <f t="shared" si="98"/>
        <v>677441.15999999992</v>
      </c>
      <c r="AF110" s="958">
        <f t="shared" si="99"/>
        <v>8129293.919999999</v>
      </c>
      <c r="AG110" s="958">
        <f t="shared" si="100"/>
        <v>615855.6</v>
      </c>
      <c r="AH110" s="958">
        <f t="shared" si="101"/>
        <v>8745149.5199999996</v>
      </c>
      <c r="AI110" s="1020"/>
      <c r="AJ110" s="1020"/>
      <c r="AK110" s="1021"/>
      <c r="AL110" s="1021"/>
      <c r="AM110" s="1013"/>
      <c r="AN110" s="1013"/>
      <c r="AO110" s="1013"/>
      <c r="AP110" s="1013"/>
      <c r="AQ110" s="1013"/>
      <c r="AR110" s="1013"/>
      <c r="AS110" s="1013"/>
      <c r="AT110" s="1013"/>
      <c r="AU110" s="1013"/>
      <c r="AV110" s="1013"/>
      <c r="AW110" s="1013"/>
      <c r="AX110" s="1013"/>
      <c r="AY110" s="1013"/>
      <c r="AZ110" s="1013"/>
      <c r="BA110" s="1013"/>
      <c r="BB110" s="1013"/>
      <c r="BC110" s="1013"/>
      <c r="BD110" s="1013"/>
      <c r="BE110" s="1013"/>
      <c r="BF110" s="1013"/>
      <c r="BG110" s="1013"/>
      <c r="BH110" s="1013"/>
      <c r="BI110" s="1013"/>
      <c r="BJ110" s="1013"/>
      <c r="BK110" s="1013"/>
      <c r="BL110" s="1013"/>
      <c r="BM110" s="1013"/>
      <c r="BN110" s="1013"/>
      <c r="BO110" s="1013"/>
      <c r="BP110" s="1013"/>
      <c r="BQ110" s="1013"/>
      <c r="BR110" s="1013"/>
      <c r="BS110" s="1013"/>
      <c r="BT110" s="1013"/>
      <c r="BU110" s="1013"/>
      <c r="BV110" s="1013"/>
      <c r="BW110" s="1013"/>
      <c r="BX110" s="1013"/>
      <c r="BY110" s="1013"/>
      <c r="BZ110" s="1013"/>
      <c r="CA110" s="1013"/>
      <c r="CB110" s="1013"/>
      <c r="CC110" s="1013"/>
      <c r="CD110" s="1013"/>
      <c r="CE110" s="1013"/>
      <c r="CF110" s="1013"/>
      <c r="CG110" s="1013"/>
      <c r="CH110" s="1013"/>
      <c r="CI110" s="1013"/>
      <c r="CJ110" s="1013"/>
      <c r="CK110" s="1013"/>
      <c r="CL110" s="1013"/>
      <c r="CM110" s="1013"/>
      <c r="CN110" s="1013"/>
      <c r="CO110" s="1013"/>
      <c r="CP110" s="1013"/>
      <c r="CQ110" s="1013"/>
      <c r="CR110" s="1013"/>
      <c r="CS110" s="1013"/>
      <c r="CT110" s="1013"/>
      <c r="CU110" s="1013"/>
      <c r="CV110" s="1013"/>
      <c r="CW110" s="1013"/>
      <c r="CX110" s="1013"/>
      <c r="CY110" s="1013"/>
      <c r="CZ110" s="1013"/>
      <c r="DA110" s="1013"/>
      <c r="DB110" s="1013"/>
      <c r="DC110" s="1013"/>
      <c r="DD110" s="1013"/>
      <c r="DE110" s="1013"/>
      <c r="DF110" s="1013"/>
      <c r="DG110" s="1013"/>
      <c r="DH110" s="1013"/>
      <c r="DI110" s="1013"/>
      <c r="DJ110" s="1013"/>
      <c r="DK110" s="1013"/>
      <c r="DL110" s="1013"/>
      <c r="DM110" s="1013"/>
      <c r="DN110" s="1013"/>
      <c r="DO110" s="1013"/>
      <c r="DP110" s="1013"/>
      <c r="DQ110" s="1013"/>
      <c r="DR110" s="1013"/>
      <c r="DS110" s="1013"/>
      <c r="DT110" s="1013"/>
      <c r="DU110" s="1013"/>
      <c r="DV110" s="1013"/>
      <c r="DW110" s="1013"/>
      <c r="DX110" s="1013"/>
      <c r="DY110" s="1013"/>
      <c r="DZ110" s="1013"/>
      <c r="EA110" s="1013"/>
      <c r="EB110" s="1013"/>
      <c r="EC110" s="1013"/>
      <c r="ED110" s="1013"/>
      <c r="EE110" s="1013"/>
      <c r="EF110" s="1013"/>
      <c r="EG110" s="1013"/>
      <c r="EH110" s="1013"/>
      <c r="EI110" s="1013"/>
      <c r="EJ110" s="1013"/>
      <c r="EK110" s="1013"/>
      <c r="EL110" s="1013"/>
      <c r="EM110" s="1013"/>
      <c r="EN110" s="1013"/>
      <c r="EO110" s="1013"/>
      <c r="EP110" s="1013"/>
      <c r="EQ110" s="1013"/>
      <c r="ER110" s="1013"/>
      <c r="ES110" s="1013"/>
      <c r="ET110" s="1013"/>
      <c r="EU110" s="1013"/>
      <c r="EV110" s="1013"/>
      <c r="EW110" s="1013"/>
      <c r="EX110" s="1013"/>
      <c r="EY110" s="1013"/>
      <c r="EZ110" s="1013"/>
      <c r="FA110" s="1013"/>
      <c r="FB110" s="1013"/>
      <c r="FC110" s="1013"/>
      <c r="FD110" s="1013"/>
      <c r="FE110" s="1013"/>
      <c r="FF110" s="1013"/>
      <c r="FG110" s="1013"/>
      <c r="FH110" s="1013"/>
      <c r="FI110" s="1013"/>
      <c r="FJ110" s="1013"/>
      <c r="FK110" s="1013"/>
      <c r="FL110" s="1013"/>
      <c r="FM110" s="1013"/>
      <c r="FN110" s="1013"/>
      <c r="FO110" s="1013"/>
      <c r="FP110" s="1013"/>
      <c r="FQ110" s="1013"/>
      <c r="FR110" s="1013"/>
      <c r="FS110" s="1013"/>
      <c r="FT110" s="1013"/>
      <c r="FU110" s="1013"/>
      <c r="FV110" s="1013"/>
      <c r="FW110" s="1013"/>
      <c r="FX110" s="1013"/>
      <c r="FY110" s="1013"/>
      <c r="FZ110" s="1013"/>
      <c r="GA110" s="1013"/>
      <c r="GB110" s="1013"/>
      <c r="GC110" s="1013"/>
      <c r="GD110" s="1013"/>
      <c r="GE110" s="1013"/>
      <c r="GF110" s="1013"/>
      <c r="GG110" s="1013"/>
      <c r="GH110" s="1013"/>
      <c r="GI110" s="1013"/>
      <c r="GJ110" s="1013"/>
      <c r="GK110" s="1013"/>
      <c r="GL110" s="1013"/>
      <c r="GM110" s="1013"/>
      <c r="GN110" s="1013"/>
      <c r="GO110" s="1013"/>
      <c r="GP110" s="1013"/>
      <c r="GQ110" s="1013"/>
      <c r="GR110" s="1013"/>
      <c r="GS110" s="1013"/>
      <c r="GT110" s="1013"/>
      <c r="GU110" s="1013"/>
      <c r="GV110" s="1013"/>
      <c r="GW110" s="1013"/>
      <c r="GX110" s="1013"/>
      <c r="GY110" s="1013"/>
      <c r="GZ110" s="1013"/>
      <c r="HA110" s="1013"/>
    </row>
    <row r="111" spans="1:209" s="1003" customFormat="1" ht="30.75" customHeight="1">
      <c r="A111" s="950">
        <v>11</v>
      </c>
      <c r="B111" s="951" t="s">
        <v>778</v>
      </c>
      <c r="C111" s="952" t="s">
        <v>714</v>
      </c>
      <c r="D111" s="953" t="s">
        <v>73</v>
      </c>
      <c r="E111" s="954">
        <v>1</v>
      </c>
      <c r="F111" s="955" t="s">
        <v>76</v>
      </c>
      <c r="G111" s="956">
        <v>4.71</v>
      </c>
      <c r="H111" s="957">
        <v>17697</v>
      </c>
      <c r="I111" s="955">
        <v>2</v>
      </c>
      <c r="J111" s="958"/>
      <c r="K111" s="958">
        <f t="shared" si="95"/>
        <v>166705.74</v>
      </c>
      <c r="L111" s="958">
        <v>1</v>
      </c>
      <c r="M111" s="958"/>
      <c r="N111" s="958"/>
      <c r="O111" s="958"/>
      <c r="P111" s="958"/>
      <c r="Q111" s="958"/>
      <c r="R111" s="958"/>
      <c r="S111" s="958"/>
      <c r="T111" s="958"/>
      <c r="U111" s="958"/>
      <c r="V111" s="958"/>
      <c r="W111" s="958"/>
      <c r="X111" s="958"/>
      <c r="Y111" s="958">
        <v>50</v>
      </c>
      <c r="Z111" s="959">
        <f>Y111*350%</f>
        <v>175</v>
      </c>
      <c r="AA111" s="959">
        <f t="shared" ref="AA111" si="103">K111*Z111%</f>
        <v>291735.04499999998</v>
      </c>
      <c r="AB111" s="959"/>
      <c r="AC111" s="959"/>
      <c r="AD111" s="958">
        <f t="shared" si="97"/>
        <v>16670.574000000001</v>
      </c>
      <c r="AE111" s="958">
        <f t="shared" si="98"/>
        <v>475111.359</v>
      </c>
      <c r="AF111" s="958">
        <f t="shared" si="99"/>
        <v>5701336.3080000002</v>
      </c>
      <c r="AG111" s="958">
        <f t="shared" si="100"/>
        <v>166705.74</v>
      </c>
      <c r="AH111" s="958">
        <f t="shared" si="101"/>
        <v>5868042.0480000004</v>
      </c>
      <c r="AI111" s="1020"/>
      <c r="AJ111" s="1020"/>
      <c r="AK111" s="1021"/>
      <c r="AL111" s="1021"/>
      <c r="AM111" s="1013"/>
      <c r="AN111" s="1013"/>
      <c r="AO111" s="1013"/>
      <c r="AP111" s="1013"/>
      <c r="AQ111" s="1013"/>
      <c r="AR111" s="1013"/>
      <c r="AS111" s="1013"/>
      <c r="AT111" s="1013"/>
      <c r="AU111" s="1013"/>
      <c r="AV111" s="1013"/>
      <c r="AW111" s="1013"/>
      <c r="AX111" s="1013"/>
      <c r="AY111" s="1013"/>
      <c r="AZ111" s="1013"/>
      <c r="BA111" s="1013"/>
      <c r="BB111" s="1013"/>
      <c r="BC111" s="1013"/>
      <c r="BD111" s="1013"/>
      <c r="BE111" s="1013"/>
      <c r="BF111" s="1013"/>
      <c r="BG111" s="1013"/>
      <c r="BH111" s="1013"/>
      <c r="BI111" s="1013"/>
      <c r="BJ111" s="1013"/>
      <c r="BK111" s="1013"/>
      <c r="BL111" s="1013"/>
      <c r="BM111" s="1013"/>
      <c r="BN111" s="1013"/>
      <c r="BO111" s="1013"/>
      <c r="BP111" s="1013"/>
      <c r="BQ111" s="1013"/>
      <c r="BR111" s="1013"/>
      <c r="BS111" s="1013"/>
      <c r="BT111" s="1013"/>
      <c r="BU111" s="1013"/>
      <c r="BV111" s="1013"/>
      <c r="BW111" s="1013"/>
      <c r="BX111" s="1013"/>
      <c r="BY111" s="1013"/>
      <c r="BZ111" s="1013"/>
      <c r="CA111" s="1013"/>
      <c r="CB111" s="1013"/>
      <c r="CC111" s="1013"/>
      <c r="CD111" s="1013"/>
      <c r="CE111" s="1013"/>
      <c r="CF111" s="1013"/>
      <c r="CG111" s="1013"/>
      <c r="CH111" s="1013"/>
      <c r="CI111" s="1013"/>
      <c r="CJ111" s="1013"/>
      <c r="CK111" s="1013"/>
      <c r="CL111" s="1013"/>
      <c r="CM111" s="1013"/>
      <c r="CN111" s="1013"/>
      <c r="CO111" s="1013"/>
      <c r="CP111" s="1013"/>
      <c r="CQ111" s="1013"/>
      <c r="CR111" s="1013"/>
      <c r="CS111" s="1013"/>
      <c r="CT111" s="1013"/>
      <c r="CU111" s="1013"/>
      <c r="CV111" s="1013"/>
      <c r="CW111" s="1013"/>
      <c r="CX111" s="1013"/>
      <c r="CY111" s="1013"/>
      <c r="CZ111" s="1013"/>
      <c r="DA111" s="1013"/>
      <c r="DB111" s="1013"/>
      <c r="DC111" s="1013"/>
      <c r="DD111" s="1013"/>
      <c r="DE111" s="1013"/>
      <c r="DF111" s="1013"/>
      <c r="DG111" s="1013"/>
      <c r="DH111" s="1013"/>
      <c r="DI111" s="1013"/>
      <c r="DJ111" s="1013"/>
      <c r="DK111" s="1013"/>
      <c r="DL111" s="1013"/>
      <c r="DM111" s="1013"/>
      <c r="DN111" s="1013"/>
      <c r="DO111" s="1013"/>
      <c r="DP111" s="1013"/>
      <c r="DQ111" s="1013"/>
      <c r="DR111" s="1013"/>
      <c r="DS111" s="1013"/>
      <c r="DT111" s="1013"/>
      <c r="DU111" s="1013"/>
      <c r="DV111" s="1013"/>
      <c r="DW111" s="1013"/>
      <c r="DX111" s="1013"/>
      <c r="DY111" s="1013"/>
      <c r="DZ111" s="1013"/>
      <c r="EA111" s="1013"/>
      <c r="EB111" s="1013"/>
      <c r="EC111" s="1013"/>
      <c r="ED111" s="1013"/>
      <c r="EE111" s="1013"/>
      <c r="EF111" s="1013"/>
      <c r="EG111" s="1013"/>
      <c r="EH111" s="1013"/>
      <c r="EI111" s="1013"/>
      <c r="EJ111" s="1013"/>
      <c r="EK111" s="1013"/>
      <c r="EL111" s="1013"/>
      <c r="EM111" s="1013"/>
      <c r="EN111" s="1013"/>
      <c r="EO111" s="1013"/>
      <c r="EP111" s="1013"/>
      <c r="EQ111" s="1013"/>
      <c r="ER111" s="1013"/>
      <c r="ES111" s="1013"/>
      <c r="ET111" s="1013"/>
      <c r="EU111" s="1013"/>
      <c r="EV111" s="1013"/>
      <c r="EW111" s="1013"/>
      <c r="EX111" s="1013"/>
      <c r="EY111" s="1013"/>
      <c r="EZ111" s="1013"/>
      <c r="FA111" s="1013"/>
      <c r="FB111" s="1013"/>
      <c r="FC111" s="1013"/>
      <c r="FD111" s="1013"/>
      <c r="FE111" s="1013"/>
      <c r="FF111" s="1013"/>
      <c r="FG111" s="1013"/>
      <c r="FH111" s="1013"/>
      <c r="FI111" s="1013"/>
      <c r="FJ111" s="1013"/>
      <c r="FK111" s="1013"/>
      <c r="FL111" s="1013"/>
      <c r="FM111" s="1013"/>
      <c r="FN111" s="1013"/>
      <c r="FO111" s="1013"/>
      <c r="FP111" s="1013"/>
      <c r="FQ111" s="1013"/>
      <c r="FR111" s="1013"/>
      <c r="FS111" s="1013"/>
      <c r="FT111" s="1013"/>
      <c r="FU111" s="1013"/>
      <c r="FV111" s="1013"/>
      <c r="FW111" s="1013"/>
      <c r="FX111" s="1013"/>
      <c r="FY111" s="1013"/>
      <c r="FZ111" s="1013"/>
      <c r="GA111" s="1013"/>
      <c r="GB111" s="1013"/>
      <c r="GC111" s="1013"/>
      <c r="GD111" s="1013"/>
      <c r="GE111" s="1013"/>
      <c r="GF111" s="1013"/>
      <c r="GG111" s="1013"/>
      <c r="GH111" s="1013"/>
      <c r="GI111" s="1013"/>
      <c r="GJ111" s="1013"/>
      <c r="GK111" s="1013"/>
      <c r="GL111" s="1013"/>
      <c r="GM111" s="1013"/>
      <c r="GN111" s="1013"/>
      <c r="GO111" s="1013"/>
      <c r="GP111" s="1013"/>
      <c r="GQ111" s="1013"/>
      <c r="GR111" s="1013"/>
      <c r="GS111" s="1013"/>
      <c r="GT111" s="1013"/>
      <c r="GU111" s="1013"/>
      <c r="GV111" s="1013"/>
      <c r="GW111" s="1013"/>
      <c r="GX111" s="1013"/>
      <c r="GY111" s="1013"/>
      <c r="GZ111" s="1013"/>
      <c r="HA111" s="1013"/>
    </row>
    <row r="112" spans="1:209" s="1003" customFormat="1" ht="30.75" customHeight="1">
      <c r="A112" s="950">
        <v>12</v>
      </c>
      <c r="B112" s="952" t="s">
        <v>779</v>
      </c>
      <c r="C112" s="952" t="s">
        <v>96</v>
      </c>
      <c r="D112" s="950">
        <v>4</v>
      </c>
      <c r="E112" s="959">
        <v>3</v>
      </c>
      <c r="F112" s="955" t="s">
        <v>777</v>
      </c>
      <c r="G112" s="956">
        <v>2.9</v>
      </c>
      <c r="H112" s="958">
        <v>17697</v>
      </c>
      <c r="I112" s="955">
        <v>2</v>
      </c>
      <c r="J112" s="958"/>
      <c r="K112" s="958">
        <f t="shared" si="95"/>
        <v>307927.8</v>
      </c>
      <c r="L112" s="958"/>
      <c r="M112" s="958"/>
      <c r="N112" s="958"/>
      <c r="O112" s="958">
        <f>K112/164*0.5*2.67</f>
        <v>2506.6073963414633</v>
      </c>
      <c r="P112" s="958">
        <v>35</v>
      </c>
      <c r="Q112" s="958">
        <f>E112*H112*P112%</f>
        <v>18581.849999999999</v>
      </c>
      <c r="R112" s="958"/>
      <c r="S112" s="958"/>
      <c r="T112" s="958"/>
      <c r="U112" s="958"/>
      <c r="V112" s="958"/>
      <c r="W112" s="958"/>
      <c r="X112" s="958"/>
      <c r="Y112" s="958">
        <v>60</v>
      </c>
      <c r="Z112" s="959">
        <f>Y112*350%</f>
        <v>210</v>
      </c>
      <c r="AA112" s="959">
        <f>K112*Z112%</f>
        <v>646648.38</v>
      </c>
      <c r="AB112" s="959"/>
      <c r="AC112" s="959"/>
      <c r="AD112" s="958">
        <f t="shared" si="97"/>
        <v>30792.78</v>
      </c>
      <c r="AE112" s="958">
        <f t="shared" si="98"/>
        <v>1006457.4173963415</v>
      </c>
      <c r="AF112" s="958">
        <f>AE112*12</f>
        <v>12077489.008756097</v>
      </c>
      <c r="AG112" s="958">
        <f>K112</f>
        <v>307927.8</v>
      </c>
      <c r="AH112" s="958">
        <f>AE112*12+AG112</f>
        <v>12385416.808756098</v>
      </c>
      <c r="AI112" s="1020"/>
      <c r="AJ112" s="1020"/>
      <c r="AK112" s="1021"/>
      <c r="AL112" s="1021"/>
      <c r="AM112" s="1013"/>
      <c r="AN112" s="1013"/>
      <c r="AO112" s="1013"/>
      <c r="AP112" s="1013"/>
      <c r="AQ112" s="1013"/>
      <c r="AR112" s="1013"/>
      <c r="AS112" s="1013"/>
      <c r="AT112" s="1013"/>
      <c r="AU112" s="1013"/>
      <c r="AV112" s="1013"/>
      <c r="AW112" s="1013"/>
      <c r="AX112" s="1013"/>
      <c r="AY112" s="1013"/>
      <c r="AZ112" s="1013"/>
      <c r="BA112" s="1013"/>
      <c r="BB112" s="1013"/>
      <c r="BC112" s="1013"/>
      <c r="BD112" s="1013"/>
      <c r="BE112" s="1013"/>
      <c r="BF112" s="1013"/>
      <c r="BG112" s="1013"/>
      <c r="BH112" s="1013"/>
      <c r="BI112" s="1013"/>
      <c r="BJ112" s="1013"/>
      <c r="BK112" s="1013"/>
      <c r="BL112" s="1013"/>
      <c r="BM112" s="1013"/>
      <c r="BN112" s="1013"/>
      <c r="BO112" s="1013"/>
      <c r="BP112" s="1013"/>
      <c r="BQ112" s="1013"/>
      <c r="BR112" s="1013"/>
      <c r="BS112" s="1013"/>
      <c r="BT112" s="1013"/>
      <c r="BU112" s="1013"/>
      <c r="BV112" s="1013"/>
      <c r="BW112" s="1013"/>
      <c r="BX112" s="1013"/>
      <c r="BY112" s="1013"/>
      <c r="BZ112" s="1013"/>
      <c r="CA112" s="1013"/>
      <c r="CB112" s="1013"/>
      <c r="CC112" s="1013"/>
      <c r="CD112" s="1013"/>
      <c r="CE112" s="1013"/>
      <c r="CF112" s="1013"/>
      <c r="CG112" s="1013"/>
      <c r="CH112" s="1013"/>
      <c r="CI112" s="1013"/>
      <c r="CJ112" s="1013"/>
      <c r="CK112" s="1013"/>
      <c r="CL112" s="1013"/>
      <c r="CM112" s="1013"/>
      <c r="CN112" s="1013"/>
      <c r="CO112" s="1013"/>
      <c r="CP112" s="1013"/>
      <c r="CQ112" s="1013"/>
      <c r="CR112" s="1013"/>
      <c r="CS112" s="1013"/>
      <c r="CT112" s="1013"/>
      <c r="CU112" s="1013"/>
      <c r="CV112" s="1013"/>
      <c r="CW112" s="1013"/>
      <c r="CX112" s="1013"/>
      <c r="CY112" s="1013"/>
      <c r="CZ112" s="1013"/>
      <c r="DA112" s="1013"/>
      <c r="DB112" s="1013"/>
      <c r="DC112" s="1013"/>
      <c r="DD112" s="1013"/>
      <c r="DE112" s="1013"/>
      <c r="DF112" s="1013"/>
      <c r="DG112" s="1013"/>
      <c r="DH112" s="1013"/>
      <c r="DI112" s="1013"/>
      <c r="DJ112" s="1013"/>
      <c r="DK112" s="1013"/>
      <c r="DL112" s="1013"/>
      <c r="DM112" s="1013"/>
      <c r="DN112" s="1013"/>
      <c r="DO112" s="1013"/>
      <c r="DP112" s="1013"/>
      <c r="DQ112" s="1013"/>
      <c r="DR112" s="1013"/>
      <c r="DS112" s="1013"/>
      <c r="DT112" s="1013"/>
      <c r="DU112" s="1013"/>
      <c r="DV112" s="1013"/>
      <c r="DW112" s="1013"/>
      <c r="DX112" s="1013"/>
      <c r="DY112" s="1013"/>
      <c r="DZ112" s="1013"/>
      <c r="EA112" s="1013"/>
      <c r="EB112" s="1013"/>
      <c r="EC112" s="1013"/>
      <c r="ED112" s="1013"/>
      <c r="EE112" s="1013"/>
      <c r="EF112" s="1013"/>
      <c r="EG112" s="1013"/>
      <c r="EH112" s="1013"/>
      <c r="EI112" s="1013"/>
      <c r="EJ112" s="1013"/>
      <c r="EK112" s="1013"/>
      <c r="EL112" s="1013"/>
      <c r="EM112" s="1013"/>
      <c r="EN112" s="1013"/>
      <c r="EO112" s="1013"/>
      <c r="EP112" s="1013"/>
      <c r="EQ112" s="1013"/>
      <c r="ER112" s="1013"/>
      <c r="ES112" s="1013"/>
      <c r="ET112" s="1013"/>
      <c r="EU112" s="1013"/>
      <c r="EV112" s="1013"/>
      <c r="EW112" s="1013"/>
      <c r="EX112" s="1013"/>
      <c r="EY112" s="1013"/>
      <c r="EZ112" s="1013"/>
      <c r="FA112" s="1013"/>
      <c r="FB112" s="1013"/>
      <c r="FC112" s="1013"/>
      <c r="FD112" s="1013"/>
      <c r="FE112" s="1013"/>
      <c r="FF112" s="1013"/>
      <c r="FG112" s="1013"/>
      <c r="FH112" s="1013"/>
      <c r="FI112" s="1013"/>
      <c r="FJ112" s="1013"/>
      <c r="FK112" s="1013"/>
      <c r="FL112" s="1013"/>
      <c r="FM112" s="1013"/>
      <c r="FN112" s="1013"/>
      <c r="FO112" s="1013"/>
      <c r="FP112" s="1013"/>
      <c r="FQ112" s="1013"/>
      <c r="FR112" s="1013"/>
      <c r="FS112" s="1013"/>
      <c r="FT112" s="1013"/>
      <c r="FU112" s="1013"/>
      <c r="FV112" s="1013"/>
      <c r="FW112" s="1013"/>
      <c r="FX112" s="1013"/>
      <c r="FY112" s="1013"/>
      <c r="FZ112" s="1013"/>
      <c r="GA112" s="1013"/>
      <c r="GB112" s="1013"/>
      <c r="GC112" s="1013"/>
      <c r="GD112" s="1013"/>
      <c r="GE112" s="1013"/>
      <c r="GF112" s="1013"/>
      <c r="GG112" s="1013"/>
      <c r="GH112" s="1013"/>
      <c r="GI112" s="1013"/>
      <c r="GJ112" s="1013"/>
      <c r="GK112" s="1013"/>
      <c r="GL112" s="1013"/>
      <c r="GM112" s="1013"/>
      <c r="GN112" s="1013"/>
      <c r="GO112" s="1013"/>
      <c r="GP112" s="1013"/>
      <c r="GQ112" s="1013"/>
      <c r="GR112" s="1013"/>
      <c r="GS112" s="1013"/>
      <c r="GT112" s="1013"/>
      <c r="GU112" s="1013"/>
      <c r="GV112" s="1013"/>
      <c r="GW112" s="1013"/>
      <c r="GX112" s="1013"/>
      <c r="GY112" s="1013"/>
      <c r="GZ112" s="1013"/>
      <c r="HA112" s="1013"/>
    </row>
    <row r="113" spans="1:209" s="1003" customFormat="1" ht="30.75" customHeight="1">
      <c r="A113" s="950"/>
      <c r="B113" s="964" t="s">
        <v>627</v>
      </c>
      <c r="C113" s="964"/>
      <c r="D113" s="998"/>
      <c r="E113" s="999">
        <f>SUM(E101:E112)</f>
        <v>20</v>
      </c>
      <c r="F113" s="994"/>
      <c r="G113" s="953"/>
      <c r="H113" s="957"/>
      <c r="I113" s="957"/>
      <c r="J113" s="957"/>
      <c r="K113" s="999">
        <f>SUM(K101:K112)</f>
        <v>2405730.1799999997</v>
      </c>
      <c r="L113" s="965" t="e">
        <f>SUM(#REF!)</f>
        <v>#REF!</v>
      </c>
      <c r="M113" s="965"/>
      <c r="N113" s="965"/>
      <c r="O113" s="999">
        <f>SUM(O101:O112)</f>
        <v>2506.6073963414633</v>
      </c>
      <c r="P113" s="965"/>
      <c r="Q113" s="999">
        <f>SUM(Q101:Q112)</f>
        <v>18581.849999999999</v>
      </c>
      <c r="R113" s="965"/>
      <c r="S113" s="999">
        <f>SUM(S101:S112)</f>
        <v>4424.25</v>
      </c>
      <c r="T113" s="965"/>
      <c r="U113" s="965"/>
      <c r="V113" s="965"/>
      <c r="W113" s="965"/>
      <c r="X113" s="965"/>
      <c r="Y113" s="965"/>
      <c r="Z113" s="959"/>
      <c r="AA113" s="999">
        <f>SUM(AA101:AA112)</f>
        <v>2521433.1659999997</v>
      </c>
      <c r="AB113" s="961"/>
      <c r="AC113" s="961"/>
      <c r="AD113" s="999">
        <f>SUM(AD101:AD112)</f>
        <v>240573.01800000001</v>
      </c>
      <c r="AE113" s="999">
        <f>SUM(AE101:AE112)</f>
        <v>5193249.0713963415</v>
      </c>
      <c r="AF113" s="999">
        <f>SUM(AF101:AF112)</f>
        <v>62318988.856756106</v>
      </c>
      <c r="AG113" s="999">
        <f>SUM(AG101:AG112)</f>
        <v>2405730.1799999997</v>
      </c>
      <c r="AH113" s="999">
        <f>SUM(AH101:AH112)</f>
        <v>64724719.036756091</v>
      </c>
      <c r="AI113" s="1022">
        <v>38449148</v>
      </c>
      <c r="AJ113" s="1022"/>
      <c r="AK113" s="1021"/>
      <c r="AL113" s="1021"/>
      <c r="AM113" s="1013"/>
      <c r="AN113" s="1013"/>
      <c r="AO113" s="1013"/>
      <c r="AP113" s="1013"/>
      <c r="AQ113" s="1013"/>
      <c r="AR113" s="1013"/>
      <c r="AS113" s="1013"/>
      <c r="AT113" s="1013"/>
      <c r="AU113" s="1013"/>
      <c r="AV113" s="1013"/>
      <c r="AW113" s="1013"/>
      <c r="AX113" s="1013"/>
      <c r="AY113" s="1013"/>
      <c r="AZ113" s="1013"/>
      <c r="BA113" s="1013"/>
      <c r="BB113" s="1013"/>
      <c r="BC113" s="1013"/>
      <c r="BD113" s="1013"/>
      <c r="BE113" s="1013"/>
      <c r="BF113" s="1013"/>
      <c r="BG113" s="1013"/>
      <c r="BH113" s="1013"/>
      <c r="BI113" s="1013"/>
      <c r="BJ113" s="1013"/>
      <c r="BK113" s="1013"/>
      <c r="BL113" s="1013"/>
      <c r="BM113" s="1013"/>
      <c r="BN113" s="1013"/>
      <c r="BO113" s="1013"/>
      <c r="BP113" s="1013"/>
      <c r="BQ113" s="1013"/>
      <c r="BR113" s="1013"/>
      <c r="BS113" s="1013"/>
      <c r="BT113" s="1013"/>
      <c r="BU113" s="1013"/>
      <c r="BV113" s="1013"/>
      <c r="BW113" s="1013"/>
      <c r="BX113" s="1013"/>
      <c r="BY113" s="1013"/>
      <c r="BZ113" s="1013"/>
      <c r="CA113" s="1013"/>
      <c r="CB113" s="1013"/>
      <c r="CC113" s="1013"/>
      <c r="CD113" s="1013"/>
      <c r="CE113" s="1013"/>
      <c r="CF113" s="1013"/>
      <c r="CG113" s="1013"/>
      <c r="CH113" s="1013"/>
      <c r="CI113" s="1013"/>
      <c r="CJ113" s="1013"/>
      <c r="CK113" s="1013"/>
      <c r="CL113" s="1013"/>
      <c r="CM113" s="1013"/>
      <c r="CN113" s="1013"/>
      <c r="CO113" s="1013"/>
      <c r="CP113" s="1013"/>
      <c r="CQ113" s="1013"/>
      <c r="CR113" s="1013"/>
      <c r="CS113" s="1013"/>
      <c r="CT113" s="1013"/>
      <c r="CU113" s="1013"/>
      <c r="CV113" s="1013"/>
      <c r="CW113" s="1013"/>
      <c r="CX113" s="1013"/>
      <c r="CY113" s="1013"/>
      <c r="CZ113" s="1013"/>
      <c r="DA113" s="1013"/>
      <c r="DB113" s="1013"/>
      <c r="DC113" s="1013"/>
      <c r="DD113" s="1013"/>
      <c r="DE113" s="1013"/>
      <c r="DF113" s="1013"/>
      <c r="DG113" s="1013"/>
      <c r="DH113" s="1013"/>
      <c r="DI113" s="1013"/>
      <c r="DJ113" s="1013"/>
      <c r="DK113" s="1013"/>
      <c r="DL113" s="1013"/>
      <c r="DM113" s="1013"/>
      <c r="DN113" s="1013"/>
      <c r="DO113" s="1013"/>
      <c r="DP113" s="1013"/>
      <c r="DQ113" s="1013"/>
      <c r="DR113" s="1013"/>
      <c r="DS113" s="1013"/>
      <c r="DT113" s="1013"/>
      <c r="DU113" s="1013"/>
      <c r="DV113" s="1013"/>
      <c r="DW113" s="1013"/>
      <c r="DX113" s="1013"/>
      <c r="DY113" s="1013"/>
      <c r="DZ113" s="1013"/>
      <c r="EA113" s="1013"/>
      <c r="EB113" s="1013"/>
      <c r="EC113" s="1013"/>
      <c r="ED113" s="1013"/>
      <c r="EE113" s="1013"/>
      <c r="EF113" s="1013"/>
      <c r="EG113" s="1013"/>
      <c r="EH113" s="1013"/>
      <c r="EI113" s="1013"/>
      <c r="EJ113" s="1013"/>
      <c r="EK113" s="1013"/>
      <c r="EL113" s="1013"/>
      <c r="EM113" s="1013"/>
      <c r="EN113" s="1013"/>
      <c r="EO113" s="1013"/>
      <c r="EP113" s="1013"/>
      <c r="EQ113" s="1013"/>
      <c r="ER113" s="1013"/>
      <c r="ES113" s="1013"/>
      <c r="ET113" s="1013"/>
      <c r="EU113" s="1013"/>
      <c r="EV113" s="1013"/>
      <c r="EW113" s="1013"/>
      <c r="EX113" s="1013"/>
      <c r="EY113" s="1013"/>
      <c r="EZ113" s="1013"/>
      <c r="FA113" s="1013"/>
      <c r="FB113" s="1013"/>
      <c r="FC113" s="1013"/>
      <c r="FD113" s="1013"/>
      <c r="FE113" s="1013"/>
      <c r="FF113" s="1013"/>
      <c r="FG113" s="1013"/>
      <c r="FH113" s="1013"/>
      <c r="FI113" s="1013"/>
      <c r="FJ113" s="1013"/>
      <c r="FK113" s="1013"/>
      <c r="FL113" s="1013"/>
      <c r="FM113" s="1013"/>
      <c r="FN113" s="1013"/>
      <c r="FO113" s="1013"/>
      <c r="FP113" s="1013"/>
      <c r="FQ113" s="1013"/>
      <c r="FR113" s="1013"/>
      <c r="FS113" s="1013"/>
      <c r="FT113" s="1013"/>
      <c r="FU113" s="1013"/>
      <c r="FV113" s="1013"/>
      <c r="FW113" s="1013"/>
      <c r="FX113" s="1013"/>
      <c r="FY113" s="1013"/>
      <c r="FZ113" s="1013"/>
      <c r="GA113" s="1013"/>
      <c r="GB113" s="1013"/>
      <c r="GC113" s="1013"/>
      <c r="GD113" s="1013"/>
      <c r="GE113" s="1013"/>
      <c r="GF113" s="1013"/>
      <c r="GG113" s="1013"/>
      <c r="GH113" s="1013"/>
      <c r="GI113" s="1013"/>
      <c r="GJ113" s="1013"/>
      <c r="GK113" s="1013"/>
      <c r="GL113" s="1013"/>
      <c r="GM113" s="1013"/>
      <c r="GN113" s="1013"/>
      <c r="GO113" s="1013"/>
      <c r="GP113" s="1013"/>
      <c r="GQ113" s="1013"/>
      <c r="GR113" s="1013"/>
      <c r="GS113" s="1013"/>
      <c r="GT113" s="1013"/>
      <c r="GU113" s="1013"/>
      <c r="GV113" s="1013"/>
      <c r="GW113" s="1013"/>
      <c r="GX113" s="1013"/>
      <c r="GY113" s="1013"/>
      <c r="GZ113" s="1013"/>
      <c r="HA113" s="1013"/>
    </row>
    <row r="114" spans="1:209" s="1013" customFormat="1" ht="30.75" customHeight="1">
      <c r="A114" s="963"/>
      <c r="B114" s="964"/>
      <c r="C114" s="964"/>
      <c r="D114" s="963"/>
      <c r="E114" s="963"/>
      <c r="F114" s="963"/>
      <c r="G114" s="963"/>
      <c r="H114" s="963"/>
      <c r="I114" s="963"/>
      <c r="J114" s="963"/>
      <c r="K114" s="963"/>
      <c r="L114" s="963"/>
      <c r="M114" s="963"/>
      <c r="N114" s="963"/>
      <c r="O114" s="963"/>
      <c r="P114" s="963"/>
      <c r="Q114" s="966" t="s">
        <v>1207</v>
      </c>
      <c r="R114" s="963"/>
      <c r="S114" s="963"/>
      <c r="T114" s="963"/>
      <c r="U114" s="963"/>
      <c r="V114" s="963"/>
      <c r="W114" s="963"/>
      <c r="X114" s="963"/>
      <c r="Y114" s="963"/>
      <c r="Z114" s="959"/>
      <c r="AA114" s="963"/>
      <c r="AB114" s="963"/>
      <c r="AC114" s="963"/>
      <c r="AD114" s="963"/>
      <c r="AE114" s="963"/>
      <c r="AF114" s="963"/>
      <c r="AG114" s="963"/>
      <c r="AH114" s="963"/>
      <c r="AK114" s="1021"/>
      <c r="AL114" s="1021"/>
    </row>
    <row r="115" spans="1:209" s="1003" customFormat="1" ht="30.75" customHeight="1">
      <c r="A115" s="950">
        <v>1</v>
      </c>
      <c r="B115" s="952" t="s">
        <v>150</v>
      </c>
      <c r="C115" s="997" t="s">
        <v>780</v>
      </c>
      <c r="D115" s="953" t="s">
        <v>151</v>
      </c>
      <c r="E115" s="954">
        <v>1</v>
      </c>
      <c r="F115" s="950" t="s">
        <v>747</v>
      </c>
      <c r="G115" s="950">
        <v>5.47</v>
      </c>
      <c r="H115" s="957">
        <v>17697</v>
      </c>
      <c r="I115" s="955">
        <v>2</v>
      </c>
      <c r="J115" s="958"/>
      <c r="K115" s="958">
        <f t="shared" ref="K115:K120" si="104">H115*G115*E115*I115</f>
        <v>193605.18</v>
      </c>
      <c r="L115" s="958">
        <v>1</v>
      </c>
      <c r="M115" s="958"/>
      <c r="N115" s="958"/>
      <c r="O115" s="958"/>
      <c r="P115" s="958"/>
      <c r="Q115" s="958"/>
      <c r="R115" s="958"/>
      <c r="S115" s="958"/>
      <c r="T115" s="958"/>
      <c r="U115" s="958"/>
      <c r="V115" s="958"/>
      <c r="W115" s="958"/>
      <c r="X115" s="958"/>
      <c r="Y115" s="958">
        <v>80</v>
      </c>
      <c r="Z115" s="959">
        <f>Y115*350%</f>
        <v>280</v>
      </c>
      <c r="AA115" s="959">
        <f t="shared" ref="AA115:AA120" si="105">K115*Z115%</f>
        <v>542094.50399999996</v>
      </c>
      <c r="AB115" s="959"/>
      <c r="AC115" s="959"/>
      <c r="AD115" s="958">
        <f t="shared" ref="AD115:AD120" si="106">K115*0.1</f>
        <v>19360.518</v>
      </c>
      <c r="AE115" s="958">
        <f t="shared" ref="AE115:AE120" si="107">K115+N115+O115+Q115+S115+U115+W115+X115+AA115+AD115+AC115</f>
        <v>755060.20199999993</v>
      </c>
      <c r="AF115" s="958">
        <f t="shared" ref="AF115:AF120" si="108">AE115*12</f>
        <v>9060722.4239999987</v>
      </c>
      <c r="AG115" s="958">
        <f t="shared" ref="AG115:AG120" si="109">K115</f>
        <v>193605.18</v>
      </c>
      <c r="AH115" s="958">
        <f t="shared" ref="AH115:AH120" si="110">AE115*12+AG115</f>
        <v>9254327.6039999984</v>
      </c>
      <c r="AK115" s="1014"/>
      <c r="AL115" s="1014"/>
    </row>
    <row r="116" spans="1:209" s="1013" customFormat="1" ht="64.5" customHeight="1">
      <c r="A116" s="950">
        <v>2</v>
      </c>
      <c r="B116" s="951" t="s">
        <v>781</v>
      </c>
      <c r="C116" s="996" t="s">
        <v>782</v>
      </c>
      <c r="D116" s="953" t="s">
        <v>153</v>
      </c>
      <c r="E116" s="954">
        <v>1</v>
      </c>
      <c r="F116" s="958" t="s">
        <v>1208</v>
      </c>
      <c r="G116" s="950">
        <v>5.05</v>
      </c>
      <c r="H116" s="957">
        <v>17697</v>
      </c>
      <c r="I116" s="955">
        <v>2</v>
      </c>
      <c r="J116" s="958"/>
      <c r="K116" s="958">
        <f t="shared" si="104"/>
        <v>178739.69999999998</v>
      </c>
      <c r="L116" s="958">
        <v>1</v>
      </c>
      <c r="M116" s="958"/>
      <c r="N116" s="958"/>
      <c r="O116" s="958"/>
      <c r="P116" s="958"/>
      <c r="Q116" s="958"/>
      <c r="R116" s="958"/>
      <c r="S116" s="958"/>
      <c r="T116" s="958"/>
      <c r="U116" s="958"/>
      <c r="V116" s="958"/>
      <c r="W116" s="958"/>
      <c r="X116" s="958"/>
      <c r="Y116" s="958">
        <v>60</v>
      </c>
      <c r="Z116" s="959">
        <f t="shared" ref="Z116:Z120" si="111">Y116*350%</f>
        <v>210</v>
      </c>
      <c r="AA116" s="959">
        <f t="shared" si="105"/>
        <v>375353.37</v>
      </c>
      <c r="AB116" s="959"/>
      <c r="AC116" s="959"/>
      <c r="AD116" s="958">
        <f t="shared" si="106"/>
        <v>17873.969999999998</v>
      </c>
      <c r="AE116" s="958">
        <f t="shared" si="107"/>
        <v>571967.03999999992</v>
      </c>
      <c r="AF116" s="958">
        <f t="shared" si="108"/>
        <v>6863604.4799999986</v>
      </c>
      <c r="AG116" s="958">
        <f t="shared" si="109"/>
        <v>178739.69999999998</v>
      </c>
      <c r="AH116" s="958">
        <f t="shared" si="110"/>
        <v>7042344.1799999988</v>
      </c>
      <c r="AI116" s="1020"/>
      <c r="AJ116" s="1020"/>
      <c r="AK116" s="1021"/>
      <c r="AL116" s="1021"/>
    </row>
    <row r="117" spans="1:209" s="1013" customFormat="1" ht="37.5" customHeight="1">
      <c r="A117" s="950">
        <v>3</v>
      </c>
      <c r="B117" s="951" t="s">
        <v>1209</v>
      </c>
      <c r="C117" s="996" t="s">
        <v>787</v>
      </c>
      <c r="D117" s="953" t="s">
        <v>153</v>
      </c>
      <c r="E117" s="1000">
        <v>1</v>
      </c>
      <c r="F117" s="958" t="s">
        <v>1210</v>
      </c>
      <c r="G117" s="953">
        <v>5.34</v>
      </c>
      <c r="H117" s="957">
        <v>17697</v>
      </c>
      <c r="I117" s="955">
        <v>2</v>
      </c>
      <c r="J117" s="957">
        <f>H117*G117*E117*I117</f>
        <v>189003.96</v>
      </c>
      <c r="K117" s="958">
        <f>H117*G117*E117*I117</f>
        <v>189003.96</v>
      </c>
      <c r="L117" s="958"/>
      <c r="M117" s="958"/>
      <c r="N117" s="958"/>
      <c r="O117" s="958"/>
      <c r="P117" s="958"/>
      <c r="Q117" s="958"/>
      <c r="R117" s="958"/>
      <c r="S117" s="958"/>
      <c r="T117" s="958"/>
      <c r="U117" s="958"/>
      <c r="V117" s="958"/>
      <c r="W117" s="958"/>
      <c r="X117" s="958"/>
      <c r="Y117" s="958">
        <v>60</v>
      </c>
      <c r="Z117" s="959">
        <f>Y117*350%</f>
        <v>210</v>
      </c>
      <c r="AA117" s="959">
        <f>K117*Z117%</f>
        <v>396908.31599999999</v>
      </c>
      <c r="AB117" s="959"/>
      <c r="AC117" s="959"/>
      <c r="AD117" s="958">
        <f>K117*0.1</f>
        <v>18900.396000000001</v>
      </c>
      <c r="AE117" s="958">
        <f>K117+N117+O117+Q117+S117+U117+W117+X117+AA117+AD117+AC117</f>
        <v>604812.6719999999</v>
      </c>
      <c r="AF117" s="958">
        <f>AE117*12</f>
        <v>7257752.0639999993</v>
      </c>
      <c r="AG117" s="958">
        <f>K117</f>
        <v>189003.96</v>
      </c>
      <c r="AH117" s="958">
        <f>AE117*12+AG117</f>
        <v>7446756.0239999993</v>
      </c>
      <c r="AI117" s="1020"/>
      <c r="AJ117" s="1020"/>
      <c r="AK117" s="1021"/>
      <c r="AL117" s="1021"/>
    </row>
    <row r="118" spans="1:209" s="1013" customFormat="1" ht="43.5" customHeight="1">
      <c r="A118" s="950">
        <v>4</v>
      </c>
      <c r="B118" s="951" t="s">
        <v>783</v>
      </c>
      <c r="C118" s="952" t="s">
        <v>714</v>
      </c>
      <c r="D118" s="956" t="s">
        <v>73</v>
      </c>
      <c r="E118" s="1000">
        <v>1</v>
      </c>
      <c r="F118" s="955" t="s">
        <v>76</v>
      </c>
      <c r="G118" s="956">
        <v>4.71</v>
      </c>
      <c r="H118" s="957">
        <v>17697</v>
      </c>
      <c r="I118" s="955">
        <v>2</v>
      </c>
      <c r="J118" s="957">
        <f>H118*G118*E118*I118</f>
        <v>166705.74</v>
      </c>
      <c r="K118" s="958">
        <f t="shared" si="104"/>
        <v>166705.74</v>
      </c>
      <c r="L118" s="958"/>
      <c r="M118" s="958"/>
      <c r="N118" s="958"/>
      <c r="O118" s="958"/>
      <c r="P118" s="958"/>
      <c r="Q118" s="958"/>
      <c r="R118" s="958"/>
      <c r="S118" s="958"/>
      <c r="T118" s="958"/>
      <c r="U118" s="958"/>
      <c r="V118" s="958"/>
      <c r="W118" s="958"/>
      <c r="X118" s="958"/>
      <c r="Y118" s="958">
        <v>30</v>
      </c>
      <c r="Z118" s="959">
        <f t="shared" si="111"/>
        <v>105</v>
      </c>
      <c r="AA118" s="959">
        <f t="shared" si="105"/>
        <v>175041.027</v>
      </c>
      <c r="AB118" s="959"/>
      <c r="AC118" s="959"/>
      <c r="AD118" s="958">
        <f t="shared" si="106"/>
        <v>16670.574000000001</v>
      </c>
      <c r="AE118" s="958">
        <f t="shared" si="107"/>
        <v>358417.34100000001</v>
      </c>
      <c r="AF118" s="958">
        <f t="shared" si="108"/>
        <v>4301008.0920000002</v>
      </c>
      <c r="AG118" s="958">
        <f t="shared" si="109"/>
        <v>166705.74</v>
      </c>
      <c r="AH118" s="958">
        <f t="shared" si="110"/>
        <v>4467713.8320000004</v>
      </c>
      <c r="AI118" s="1020"/>
      <c r="AJ118" s="1020"/>
      <c r="AK118" s="1021"/>
      <c r="AL118" s="1021"/>
    </row>
    <row r="119" spans="1:209" s="1013" customFormat="1" ht="28.5" customHeight="1">
      <c r="A119" s="950">
        <v>5</v>
      </c>
      <c r="B119" s="951" t="s">
        <v>784</v>
      </c>
      <c r="C119" s="996" t="s">
        <v>785</v>
      </c>
      <c r="D119" s="956" t="s">
        <v>73</v>
      </c>
      <c r="E119" s="1000">
        <v>1</v>
      </c>
      <c r="F119" s="958" t="s">
        <v>722</v>
      </c>
      <c r="G119" s="953">
        <v>4.1399999999999997</v>
      </c>
      <c r="H119" s="957">
        <v>17697</v>
      </c>
      <c r="I119" s="955">
        <v>2</v>
      </c>
      <c r="J119" s="957">
        <f>H119*G119*E119*I119</f>
        <v>146531.15999999997</v>
      </c>
      <c r="K119" s="958">
        <f t="shared" si="104"/>
        <v>146531.15999999997</v>
      </c>
      <c r="L119" s="958"/>
      <c r="M119" s="958"/>
      <c r="N119" s="958"/>
      <c r="O119" s="958"/>
      <c r="P119" s="958"/>
      <c r="Q119" s="958"/>
      <c r="R119" s="958"/>
      <c r="S119" s="958"/>
      <c r="T119" s="958"/>
      <c r="U119" s="958"/>
      <c r="V119" s="958"/>
      <c r="W119" s="958"/>
      <c r="X119" s="958"/>
      <c r="Y119" s="958">
        <v>30</v>
      </c>
      <c r="Z119" s="959">
        <f t="shared" si="111"/>
        <v>105</v>
      </c>
      <c r="AA119" s="959">
        <f t="shared" si="105"/>
        <v>153857.71799999999</v>
      </c>
      <c r="AB119" s="959"/>
      <c r="AC119" s="959"/>
      <c r="AD119" s="958">
        <f t="shared" si="106"/>
        <v>14653.115999999998</v>
      </c>
      <c r="AE119" s="958">
        <f t="shared" si="107"/>
        <v>315041.99399999995</v>
      </c>
      <c r="AF119" s="958">
        <f t="shared" si="108"/>
        <v>3780503.9279999994</v>
      </c>
      <c r="AG119" s="958">
        <f t="shared" si="109"/>
        <v>146531.15999999997</v>
      </c>
      <c r="AH119" s="958">
        <f t="shared" si="110"/>
        <v>3927035.0879999995</v>
      </c>
      <c r="AI119" s="1020"/>
      <c r="AJ119" s="1020"/>
      <c r="AK119" s="1021"/>
      <c r="AL119" s="1021"/>
    </row>
    <row r="120" spans="1:209" s="1013" customFormat="1" ht="30.75" customHeight="1">
      <c r="A120" s="950">
        <v>6</v>
      </c>
      <c r="B120" s="951" t="s">
        <v>786</v>
      </c>
      <c r="C120" s="952" t="s">
        <v>714</v>
      </c>
      <c r="D120" s="956" t="s">
        <v>73</v>
      </c>
      <c r="E120" s="1000">
        <v>1</v>
      </c>
      <c r="F120" s="958" t="s">
        <v>162</v>
      </c>
      <c r="G120" s="953">
        <v>4.2300000000000004</v>
      </c>
      <c r="H120" s="957">
        <v>17697</v>
      </c>
      <c r="I120" s="955">
        <v>2</v>
      </c>
      <c r="J120" s="957">
        <f>H120*G120*E120*I120</f>
        <v>149716.62000000002</v>
      </c>
      <c r="K120" s="958">
        <f t="shared" si="104"/>
        <v>149716.62000000002</v>
      </c>
      <c r="L120" s="958"/>
      <c r="M120" s="958"/>
      <c r="N120" s="958"/>
      <c r="O120" s="958"/>
      <c r="P120" s="958"/>
      <c r="Q120" s="958"/>
      <c r="R120" s="958"/>
      <c r="S120" s="958"/>
      <c r="T120" s="958"/>
      <c r="U120" s="958"/>
      <c r="V120" s="958"/>
      <c r="W120" s="958"/>
      <c r="X120" s="958"/>
      <c r="Y120" s="958">
        <v>30</v>
      </c>
      <c r="Z120" s="959">
        <f t="shared" si="111"/>
        <v>105</v>
      </c>
      <c r="AA120" s="959">
        <f t="shared" si="105"/>
        <v>157202.45100000003</v>
      </c>
      <c r="AB120" s="959"/>
      <c r="AC120" s="959"/>
      <c r="AD120" s="958">
        <f t="shared" si="106"/>
        <v>14971.662000000004</v>
      </c>
      <c r="AE120" s="958">
        <f t="shared" si="107"/>
        <v>321890.73300000007</v>
      </c>
      <c r="AF120" s="958">
        <f t="shared" si="108"/>
        <v>3862688.796000001</v>
      </c>
      <c r="AG120" s="958">
        <f t="shared" si="109"/>
        <v>149716.62000000002</v>
      </c>
      <c r="AH120" s="958">
        <f t="shared" si="110"/>
        <v>4012405.4160000011</v>
      </c>
      <c r="AI120" s="1020"/>
      <c r="AJ120" s="1020"/>
      <c r="AK120" s="1021"/>
      <c r="AL120" s="1021"/>
    </row>
    <row r="121" spans="1:209" s="1013" customFormat="1" ht="28.5" customHeight="1">
      <c r="A121" s="963"/>
      <c r="B121" s="1001" t="s">
        <v>627</v>
      </c>
      <c r="C121" s="964"/>
      <c r="D121" s="998"/>
      <c r="E121" s="999">
        <f>SUM(E115:E120)</f>
        <v>6</v>
      </c>
      <c r="F121" s="998"/>
      <c r="G121" s="998"/>
      <c r="H121" s="998"/>
      <c r="I121" s="998"/>
      <c r="J121" s="998"/>
      <c r="K121" s="999">
        <f>SUM(K115:K120)</f>
        <v>1024302.36</v>
      </c>
      <c r="L121" s="965"/>
      <c r="M121" s="965"/>
      <c r="N121" s="965"/>
      <c r="O121" s="965"/>
      <c r="P121" s="965"/>
      <c r="Q121" s="965"/>
      <c r="R121" s="965"/>
      <c r="S121" s="965"/>
      <c r="T121" s="965"/>
      <c r="U121" s="965"/>
      <c r="V121" s="965"/>
      <c r="W121" s="965"/>
      <c r="X121" s="965"/>
      <c r="Y121" s="965"/>
      <c r="Z121" s="965"/>
      <c r="AA121" s="999">
        <f>SUM(AA115:AA120)</f>
        <v>1800457.3860000002</v>
      </c>
      <c r="AB121" s="961"/>
      <c r="AC121" s="961"/>
      <c r="AD121" s="999">
        <f>SUM(AD115:AD120)</f>
        <v>102430.236</v>
      </c>
      <c r="AE121" s="999">
        <f>SUM(AE115:AE120)</f>
        <v>2927189.9819999998</v>
      </c>
      <c r="AF121" s="999">
        <f>SUM(AF115:AF120)</f>
        <v>35126279.783999994</v>
      </c>
      <c r="AG121" s="999">
        <f>SUM(AG115:AG120)</f>
        <v>1024302.36</v>
      </c>
      <c r="AH121" s="999">
        <f>SUM(AH115:AH120)</f>
        <v>36150582.144000001</v>
      </c>
      <c r="AI121" s="1022"/>
      <c r="AJ121" s="1022"/>
      <c r="AK121" s="1021"/>
      <c r="AL121" s="1021"/>
    </row>
    <row r="122" spans="1:209" s="1013" customFormat="1" ht="30.75" customHeight="1">
      <c r="A122" s="963"/>
      <c r="B122" s="964"/>
      <c r="C122" s="964"/>
      <c r="D122" s="963"/>
      <c r="E122" s="963"/>
      <c r="F122" s="963"/>
      <c r="G122" s="963"/>
      <c r="H122" s="963"/>
      <c r="I122" s="963"/>
      <c r="J122" s="963"/>
      <c r="K122" s="963"/>
      <c r="L122" s="963"/>
      <c r="M122" s="963"/>
      <c r="N122" s="963"/>
      <c r="O122" s="963"/>
      <c r="P122" s="963"/>
      <c r="Q122" s="966" t="s">
        <v>1211</v>
      </c>
      <c r="R122" s="963"/>
      <c r="S122" s="963"/>
      <c r="T122" s="963"/>
      <c r="U122" s="963"/>
      <c r="V122" s="963"/>
      <c r="W122" s="963"/>
      <c r="X122" s="963"/>
      <c r="Y122" s="963"/>
      <c r="Z122" s="963"/>
      <c r="AA122" s="963"/>
      <c r="AB122" s="963"/>
      <c r="AC122" s="963"/>
      <c r="AD122" s="963"/>
      <c r="AE122" s="963"/>
      <c r="AF122" s="963"/>
      <c r="AG122" s="963"/>
      <c r="AH122" s="963"/>
      <c r="AI122" s="1022"/>
      <c r="AJ122" s="1022"/>
      <c r="AK122" s="1021"/>
      <c r="AL122" s="1021"/>
    </row>
    <row r="123" spans="1:209" s="1013" customFormat="1" ht="63" customHeight="1">
      <c r="A123" s="994">
        <v>1</v>
      </c>
      <c r="B123" s="951" t="s">
        <v>788</v>
      </c>
      <c r="C123" s="951" t="s">
        <v>789</v>
      </c>
      <c r="D123" s="953" t="s">
        <v>151</v>
      </c>
      <c r="E123" s="954">
        <v>1</v>
      </c>
      <c r="F123" s="955" t="s">
        <v>731</v>
      </c>
      <c r="G123" s="950">
        <v>6.46</v>
      </c>
      <c r="H123" s="957">
        <v>17697</v>
      </c>
      <c r="I123" s="955">
        <v>2</v>
      </c>
      <c r="J123" s="958"/>
      <c r="K123" s="958">
        <f t="shared" ref="K123:K139" si="112">H123*G123*E123*I123</f>
        <v>228645.24</v>
      </c>
      <c r="L123" s="958">
        <v>1</v>
      </c>
      <c r="M123" s="958"/>
      <c r="N123" s="958"/>
      <c r="O123" s="958"/>
      <c r="P123" s="958"/>
      <c r="Q123" s="958"/>
      <c r="R123" s="958"/>
      <c r="S123" s="958"/>
      <c r="T123" s="958"/>
      <c r="U123" s="958"/>
      <c r="V123" s="958"/>
      <c r="W123" s="958"/>
      <c r="X123" s="958"/>
      <c r="Y123" s="958">
        <v>70</v>
      </c>
      <c r="Z123" s="959">
        <f>Y123*350%</f>
        <v>245</v>
      </c>
      <c r="AA123" s="959">
        <f t="shared" ref="AA123:AA127" si="113">K123*Z123%</f>
        <v>560180.83799999999</v>
      </c>
      <c r="AB123" s="959"/>
      <c r="AC123" s="959"/>
      <c r="AD123" s="958">
        <f t="shared" ref="AD123:AD139" si="114">K123*0.1</f>
        <v>22864.524000000001</v>
      </c>
      <c r="AE123" s="958">
        <f t="shared" ref="AE123:AE139" si="115">K123+N123+O123+Q123+S123+U123+W123+X123+AA123+AD123+AC123</f>
        <v>811690.60199999996</v>
      </c>
      <c r="AF123" s="958">
        <f t="shared" ref="AF123:AF139" si="116">AE123*12</f>
        <v>9740287.2239999995</v>
      </c>
      <c r="AG123" s="958">
        <f t="shared" ref="AG123:AG139" si="117">K123</f>
        <v>228645.24</v>
      </c>
      <c r="AH123" s="958">
        <f t="shared" ref="AH123:AH139" si="118">AE123*12+AG123</f>
        <v>9968932.4639999997</v>
      </c>
      <c r="AI123" s="1022"/>
      <c r="AJ123" s="1022"/>
      <c r="AK123" s="1021"/>
      <c r="AL123" s="1021"/>
    </row>
    <row r="124" spans="1:209" s="1013" customFormat="1" ht="42" customHeight="1">
      <c r="A124" s="994">
        <v>2</v>
      </c>
      <c r="B124" s="951" t="s">
        <v>790</v>
      </c>
      <c r="C124" s="952" t="s">
        <v>714</v>
      </c>
      <c r="D124" s="953" t="s">
        <v>153</v>
      </c>
      <c r="E124" s="954">
        <v>1</v>
      </c>
      <c r="F124" s="955" t="s">
        <v>731</v>
      </c>
      <c r="G124" s="950">
        <v>6.13</v>
      </c>
      <c r="H124" s="957">
        <v>17697</v>
      </c>
      <c r="I124" s="955">
        <v>2</v>
      </c>
      <c r="J124" s="958"/>
      <c r="K124" s="958">
        <f t="shared" si="112"/>
        <v>216965.22</v>
      </c>
      <c r="L124" s="958">
        <v>1</v>
      </c>
      <c r="M124" s="958"/>
      <c r="N124" s="958"/>
      <c r="O124" s="958"/>
      <c r="P124" s="958"/>
      <c r="Q124" s="958"/>
      <c r="R124" s="958"/>
      <c r="S124" s="958"/>
      <c r="T124" s="958"/>
      <c r="U124" s="958"/>
      <c r="V124" s="958"/>
      <c r="W124" s="958"/>
      <c r="X124" s="958"/>
      <c r="Y124" s="958">
        <v>50</v>
      </c>
      <c r="Z124" s="959">
        <f t="shared" ref="Z124:Z129" si="119">Y124*350%</f>
        <v>175</v>
      </c>
      <c r="AA124" s="959">
        <f t="shared" si="113"/>
        <v>379689.13500000001</v>
      </c>
      <c r="AB124" s="959"/>
      <c r="AC124" s="959"/>
      <c r="AD124" s="958">
        <f t="shared" si="114"/>
        <v>21696.522000000001</v>
      </c>
      <c r="AE124" s="958">
        <f t="shared" si="115"/>
        <v>618350.87699999998</v>
      </c>
      <c r="AF124" s="958">
        <f t="shared" si="116"/>
        <v>7420210.5240000002</v>
      </c>
      <c r="AG124" s="958">
        <f t="shared" si="117"/>
        <v>216965.22</v>
      </c>
      <c r="AH124" s="958">
        <f t="shared" si="118"/>
        <v>7637175.7439999999</v>
      </c>
      <c r="AI124" s="1022"/>
      <c r="AJ124" s="1022"/>
      <c r="AK124" s="1021"/>
      <c r="AL124" s="1021"/>
    </row>
    <row r="125" spans="1:209" s="1003" customFormat="1" ht="59.25" customHeight="1">
      <c r="A125" s="994">
        <v>3</v>
      </c>
      <c r="B125" s="952" t="s">
        <v>791</v>
      </c>
      <c r="C125" s="952" t="s">
        <v>792</v>
      </c>
      <c r="D125" s="953" t="s">
        <v>73</v>
      </c>
      <c r="E125" s="954">
        <v>1</v>
      </c>
      <c r="F125" s="955" t="s">
        <v>76</v>
      </c>
      <c r="G125" s="956">
        <v>4.71</v>
      </c>
      <c r="H125" s="957">
        <v>17697</v>
      </c>
      <c r="I125" s="955">
        <v>2</v>
      </c>
      <c r="J125" s="958"/>
      <c r="K125" s="958">
        <f t="shared" si="112"/>
        <v>166705.74</v>
      </c>
      <c r="L125" s="958"/>
      <c r="M125" s="958"/>
      <c r="N125" s="958"/>
      <c r="O125" s="958"/>
      <c r="P125" s="958"/>
      <c r="Q125" s="958"/>
      <c r="R125" s="958">
        <v>25</v>
      </c>
      <c r="S125" s="958">
        <f>E125*H125*R125%</f>
        <v>4424.25</v>
      </c>
      <c r="T125" s="958"/>
      <c r="U125" s="958"/>
      <c r="V125" s="958"/>
      <c r="W125" s="958"/>
      <c r="X125" s="958"/>
      <c r="Y125" s="958">
        <v>50</v>
      </c>
      <c r="Z125" s="959">
        <f t="shared" si="119"/>
        <v>175</v>
      </c>
      <c r="AA125" s="959">
        <f t="shared" si="113"/>
        <v>291735.04499999998</v>
      </c>
      <c r="AB125" s="959"/>
      <c r="AC125" s="959"/>
      <c r="AD125" s="958">
        <f t="shared" si="114"/>
        <v>16670.574000000001</v>
      </c>
      <c r="AE125" s="958">
        <f t="shared" si="115"/>
        <v>479535.609</v>
      </c>
      <c r="AF125" s="958">
        <f t="shared" si="116"/>
        <v>5754427.3080000002</v>
      </c>
      <c r="AG125" s="958">
        <f t="shared" si="117"/>
        <v>166705.74</v>
      </c>
      <c r="AH125" s="958">
        <f t="shared" si="118"/>
        <v>5921133.0480000004</v>
      </c>
      <c r="AI125" s="1020"/>
      <c r="AJ125" s="1020"/>
      <c r="AK125" s="1021"/>
      <c r="AL125" s="1021"/>
      <c r="AM125" s="1013"/>
      <c r="AN125" s="1013"/>
      <c r="AO125" s="1013"/>
      <c r="AP125" s="1013"/>
      <c r="AQ125" s="1013"/>
      <c r="AR125" s="1013"/>
      <c r="AS125" s="1013"/>
      <c r="AT125" s="1013"/>
      <c r="AU125" s="1013"/>
      <c r="AV125" s="1013"/>
      <c r="AW125" s="1013"/>
      <c r="AX125" s="1013"/>
      <c r="AY125" s="1013"/>
      <c r="AZ125" s="1013"/>
      <c r="BA125" s="1013"/>
      <c r="BB125" s="1013"/>
      <c r="BC125" s="1013"/>
      <c r="BD125" s="1013"/>
      <c r="BE125" s="1013"/>
      <c r="BF125" s="1013"/>
      <c r="BG125" s="1013"/>
      <c r="BH125" s="1013"/>
      <c r="BI125" s="1013"/>
      <c r="BJ125" s="1013"/>
      <c r="BK125" s="1013"/>
      <c r="BL125" s="1013"/>
      <c r="BM125" s="1013"/>
      <c r="BN125" s="1013"/>
      <c r="BO125" s="1013"/>
      <c r="BP125" s="1013"/>
      <c r="BQ125" s="1013"/>
      <c r="BR125" s="1013"/>
      <c r="BS125" s="1013"/>
      <c r="BT125" s="1013"/>
      <c r="BU125" s="1013"/>
      <c r="BV125" s="1013"/>
      <c r="BW125" s="1013"/>
      <c r="BX125" s="1013"/>
      <c r="BY125" s="1013"/>
      <c r="BZ125" s="1013"/>
      <c r="CA125" s="1013"/>
      <c r="CB125" s="1013"/>
      <c r="CC125" s="1013"/>
      <c r="CD125" s="1013"/>
      <c r="CE125" s="1013"/>
      <c r="CF125" s="1013"/>
      <c r="CG125" s="1013"/>
      <c r="CH125" s="1013"/>
      <c r="CI125" s="1013"/>
      <c r="CJ125" s="1013"/>
      <c r="CK125" s="1013"/>
      <c r="CL125" s="1013"/>
      <c r="CM125" s="1013"/>
      <c r="CN125" s="1013"/>
      <c r="CO125" s="1013"/>
      <c r="CP125" s="1013"/>
      <c r="CQ125" s="1013"/>
      <c r="CR125" s="1013"/>
      <c r="CS125" s="1013"/>
      <c r="CT125" s="1013"/>
      <c r="CU125" s="1013"/>
      <c r="CV125" s="1013"/>
      <c r="CW125" s="1013"/>
      <c r="CX125" s="1013"/>
      <c r="CY125" s="1013"/>
      <c r="CZ125" s="1013"/>
      <c r="DA125" s="1013"/>
      <c r="DB125" s="1013"/>
      <c r="DC125" s="1013"/>
      <c r="DD125" s="1013"/>
      <c r="DE125" s="1013"/>
      <c r="DF125" s="1013"/>
      <c r="DG125" s="1013"/>
      <c r="DH125" s="1013"/>
      <c r="DI125" s="1013"/>
      <c r="DJ125" s="1013"/>
      <c r="DK125" s="1013"/>
      <c r="DL125" s="1013"/>
      <c r="DM125" s="1013"/>
      <c r="DN125" s="1013"/>
      <c r="DO125" s="1013"/>
      <c r="DP125" s="1013"/>
      <c r="DQ125" s="1013"/>
      <c r="DR125" s="1013"/>
      <c r="DS125" s="1013"/>
      <c r="DT125" s="1013"/>
      <c r="DU125" s="1013"/>
      <c r="DV125" s="1013"/>
      <c r="DW125" s="1013"/>
      <c r="DX125" s="1013"/>
      <c r="DY125" s="1013"/>
      <c r="DZ125" s="1013"/>
      <c r="EA125" s="1013"/>
      <c r="EB125" s="1013"/>
      <c r="EC125" s="1013"/>
      <c r="ED125" s="1013"/>
      <c r="EE125" s="1013"/>
      <c r="EF125" s="1013"/>
      <c r="EG125" s="1013"/>
      <c r="EH125" s="1013"/>
      <c r="EI125" s="1013"/>
      <c r="EJ125" s="1013"/>
      <c r="EK125" s="1013"/>
      <c r="EL125" s="1013"/>
      <c r="EM125" s="1013"/>
      <c r="EN125" s="1013"/>
      <c r="EO125" s="1013"/>
      <c r="EP125" s="1013"/>
      <c r="EQ125" s="1013"/>
      <c r="ER125" s="1013"/>
      <c r="ES125" s="1013"/>
      <c r="ET125" s="1013"/>
      <c r="EU125" s="1013"/>
      <c r="EV125" s="1013"/>
      <c r="EW125" s="1013"/>
      <c r="EX125" s="1013"/>
      <c r="EY125" s="1013"/>
      <c r="EZ125" s="1013"/>
      <c r="FA125" s="1013"/>
      <c r="FB125" s="1013"/>
      <c r="FC125" s="1013"/>
      <c r="FD125" s="1013"/>
      <c r="FE125" s="1013"/>
      <c r="FF125" s="1013"/>
      <c r="FG125" s="1013"/>
      <c r="FH125" s="1013"/>
      <c r="FI125" s="1013"/>
      <c r="FJ125" s="1013"/>
      <c r="FK125" s="1013"/>
      <c r="FL125" s="1013"/>
      <c r="FM125" s="1013"/>
      <c r="FN125" s="1013"/>
      <c r="FO125" s="1013"/>
      <c r="FP125" s="1013"/>
      <c r="FQ125" s="1013"/>
      <c r="FR125" s="1013"/>
      <c r="FS125" s="1013"/>
      <c r="FT125" s="1013"/>
      <c r="FU125" s="1013"/>
      <c r="FV125" s="1013"/>
      <c r="FW125" s="1013"/>
      <c r="FX125" s="1013"/>
      <c r="FY125" s="1013"/>
      <c r="FZ125" s="1013"/>
      <c r="GA125" s="1013"/>
      <c r="GB125" s="1013"/>
      <c r="GC125" s="1013"/>
      <c r="GD125" s="1013"/>
      <c r="GE125" s="1013"/>
      <c r="GF125" s="1013"/>
      <c r="GG125" s="1013"/>
      <c r="GH125" s="1013"/>
      <c r="GI125" s="1013"/>
      <c r="GJ125" s="1013"/>
      <c r="GK125" s="1013"/>
      <c r="GL125" s="1013"/>
      <c r="GM125" s="1013"/>
      <c r="GN125" s="1013"/>
      <c r="GO125" s="1013"/>
      <c r="GP125" s="1013"/>
      <c r="GQ125" s="1013"/>
      <c r="GR125" s="1013"/>
      <c r="GS125" s="1013"/>
      <c r="GT125" s="1013"/>
      <c r="GU125" s="1013"/>
      <c r="GV125" s="1013"/>
      <c r="GW125" s="1013"/>
      <c r="GX125" s="1013"/>
      <c r="GY125" s="1013"/>
      <c r="GZ125" s="1013"/>
      <c r="HA125" s="1013"/>
    </row>
    <row r="126" spans="1:209" s="1003" customFormat="1" ht="42.75" customHeight="1">
      <c r="A126" s="994">
        <v>4</v>
      </c>
      <c r="B126" s="952" t="s">
        <v>793</v>
      </c>
      <c r="C126" s="952" t="s">
        <v>714</v>
      </c>
      <c r="D126" s="953" t="s">
        <v>73</v>
      </c>
      <c r="E126" s="954">
        <v>1</v>
      </c>
      <c r="F126" s="955" t="s">
        <v>103</v>
      </c>
      <c r="G126" s="956">
        <v>4.51</v>
      </c>
      <c r="H126" s="957">
        <v>17697</v>
      </c>
      <c r="I126" s="955">
        <v>2</v>
      </c>
      <c r="J126" s="958"/>
      <c r="K126" s="958">
        <f t="shared" si="112"/>
        <v>159626.94</v>
      </c>
      <c r="L126" s="958"/>
      <c r="M126" s="958"/>
      <c r="N126" s="958"/>
      <c r="O126" s="958"/>
      <c r="P126" s="958"/>
      <c r="Q126" s="958"/>
      <c r="R126" s="958"/>
      <c r="S126" s="958"/>
      <c r="T126" s="958"/>
      <c r="U126" s="958"/>
      <c r="V126" s="958"/>
      <c r="W126" s="958"/>
      <c r="X126" s="958"/>
      <c r="Y126" s="958">
        <v>30</v>
      </c>
      <c r="Z126" s="959">
        <f t="shared" si="119"/>
        <v>105</v>
      </c>
      <c r="AA126" s="959">
        <f t="shared" si="113"/>
        <v>167608.28700000001</v>
      </c>
      <c r="AB126" s="959"/>
      <c r="AC126" s="959"/>
      <c r="AD126" s="958">
        <f t="shared" si="114"/>
        <v>15962.694000000001</v>
      </c>
      <c r="AE126" s="958">
        <f t="shared" si="115"/>
        <v>343197.92100000003</v>
      </c>
      <c r="AF126" s="958">
        <f t="shared" si="116"/>
        <v>4118375.0520000001</v>
      </c>
      <c r="AG126" s="958">
        <f t="shared" si="117"/>
        <v>159626.94</v>
      </c>
      <c r="AH126" s="958">
        <f t="shared" si="118"/>
        <v>4278001.9920000006</v>
      </c>
      <c r="AI126" s="1020"/>
      <c r="AJ126" s="1020"/>
      <c r="AK126" s="1021"/>
      <c r="AL126" s="1021"/>
      <c r="AM126" s="1013"/>
      <c r="AN126" s="1013"/>
      <c r="AO126" s="1013"/>
      <c r="AP126" s="1013"/>
      <c r="AQ126" s="1013"/>
      <c r="AR126" s="1013"/>
      <c r="AS126" s="1013"/>
      <c r="AT126" s="1013"/>
      <c r="AU126" s="1013"/>
      <c r="AV126" s="1013"/>
      <c r="AW126" s="1013"/>
      <c r="AX126" s="1013"/>
      <c r="AY126" s="1013"/>
      <c r="AZ126" s="1013"/>
      <c r="BA126" s="1013"/>
      <c r="BB126" s="1013"/>
      <c r="BC126" s="1013"/>
      <c r="BD126" s="1013"/>
      <c r="BE126" s="1013"/>
      <c r="BF126" s="1013"/>
      <c r="BG126" s="1013"/>
      <c r="BH126" s="1013"/>
      <c r="BI126" s="1013"/>
      <c r="BJ126" s="1013"/>
      <c r="BK126" s="1013"/>
      <c r="BL126" s="1013"/>
      <c r="BM126" s="1013"/>
      <c r="BN126" s="1013"/>
      <c r="BO126" s="1013"/>
      <c r="BP126" s="1013"/>
      <c r="BQ126" s="1013"/>
      <c r="BR126" s="1013"/>
      <c r="BS126" s="1013"/>
      <c r="BT126" s="1013"/>
      <c r="BU126" s="1013"/>
      <c r="BV126" s="1013"/>
      <c r="BW126" s="1013"/>
      <c r="BX126" s="1013"/>
      <c r="BY126" s="1013"/>
      <c r="BZ126" s="1013"/>
      <c r="CA126" s="1013"/>
      <c r="CB126" s="1013"/>
      <c r="CC126" s="1013"/>
      <c r="CD126" s="1013"/>
      <c r="CE126" s="1013"/>
      <c r="CF126" s="1013"/>
      <c r="CG126" s="1013"/>
      <c r="CH126" s="1013"/>
      <c r="CI126" s="1013"/>
      <c r="CJ126" s="1013"/>
      <c r="CK126" s="1013"/>
      <c r="CL126" s="1013"/>
      <c r="CM126" s="1013"/>
      <c r="CN126" s="1013"/>
      <c r="CO126" s="1013"/>
      <c r="CP126" s="1013"/>
      <c r="CQ126" s="1013"/>
      <c r="CR126" s="1013"/>
      <c r="CS126" s="1013"/>
      <c r="CT126" s="1013"/>
      <c r="CU126" s="1013"/>
      <c r="CV126" s="1013"/>
      <c r="CW126" s="1013"/>
      <c r="CX126" s="1013"/>
      <c r="CY126" s="1013"/>
      <c r="CZ126" s="1013"/>
      <c r="DA126" s="1013"/>
      <c r="DB126" s="1013"/>
      <c r="DC126" s="1013"/>
      <c r="DD126" s="1013"/>
      <c r="DE126" s="1013"/>
      <c r="DF126" s="1013"/>
      <c r="DG126" s="1013"/>
      <c r="DH126" s="1013"/>
      <c r="DI126" s="1013"/>
      <c r="DJ126" s="1013"/>
      <c r="DK126" s="1013"/>
      <c r="DL126" s="1013"/>
      <c r="DM126" s="1013"/>
      <c r="DN126" s="1013"/>
      <c r="DO126" s="1013"/>
      <c r="DP126" s="1013"/>
      <c r="DQ126" s="1013"/>
      <c r="DR126" s="1013"/>
      <c r="DS126" s="1013"/>
      <c r="DT126" s="1013"/>
      <c r="DU126" s="1013"/>
      <c r="DV126" s="1013"/>
      <c r="DW126" s="1013"/>
      <c r="DX126" s="1013"/>
      <c r="DY126" s="1013"/>
      <c r="DZ126" s="1013"/>
      <c r="EA126" s="1013"/>
      <c r="EB126" s="1013"/>
      <c r="EC126" s="1013"/>
      <c r="ED126" s="1013"/>
      <c r="EE126" s="1013"/>
      <c r="EF126" s="1013"/>
      <c r="EG126" s="1013"/>
      <c r="EH126" s="1013"/>
      <c r="EI126" s="1013"/>
      <c r="EJ126" s="1013"/>
      <c r="EK126" s="1013"/>
      <c r="EL126" s="1013"/>
      <c r="EM126" s="1013"/>
      <c r="EN126" s="1013"/>
      <c r="EO126" s="1013"/>
      <c r="EP126" s="1013"/>
      <c r="EQ126" s="1013"/>
      <c r="ER126" s="1013"/>
      <c r="ES126" s="1013"/>
      <c r="ET126" s="1013"/>
      <c r="EU126" s="1013"/>
      <c r="EV126" s="1013"/>
      <c r="EW126" s="1013"/>
      <c r="EX126" s="1013"/>
      <c r="EY126" s="1013"/>
      <c r="EZ126" s="1013"/>
      <c r="FA126" s="1013"/>
      <c r="FB126" s="1013"/>
      <c r="FC126" s="1013"/>
      <c r="FD126" s="1013"/>
      <c r="FE126" s="1013"/>
      <c r="FF126" s="1013"/>
      <c r="FG126" s="1013"/>
      <c r="FH126" s="1013"/>
      <c r="FI126" s="1013"/>
      <c r="FJ126" s="1013"/>
      <c r="FK126" s="1013"/>
      <c r="FL126" s="1013"/>
      <c r="FM126" s="1013"/>
      <c r="FN126" s="1013"/>
      <c r="FO126" s="1013"/>
      <c r="FP126" s="1013"/>
      <c r="FQ126" s="1013"/>
      <c r="FR126" s="1013"/>
      <c r="FS126" s="1013"/>
      <c r="FT126" s="1013"/>
      <c r="FU126" s="1013"/>
      <c r="FV126" s="1013"/>
      <c r="FW126" s="1013"/>
      <c r="FX126" s="1013"/>
      <c r="FY126" s="1013"/>
      <c r="FZ126" s="1013"/>
      <c r="GA126" s="1013"/>
      <c r="GB126" s="1013"/>
      <c r="GC126" s="1013"/>
      <c r="GD126" s="1013"/>
      <c r="GE126" s="1013"/>
      <c r="GF126" s="1013"/>
      <c r="GG126" s="1013"/>
      <c r="GH126" s="1013"/>
      <c r="GI126" s="1013"/>
      <c r="GJ126" s="1013"/>
      <c r="GK126" s="1013"/>
      <c r="GL126" s="1013"/>
      <c r="GM126" s="1013"/>
      <c r="GN126" s="1013"/>
      <c r="GO126" s="1013"/>
      <c r="GP126" s="1013"/>
      <c r="GQ126" s="1013"/>
      <c r="GR126" s="1013"/>
      <c r="GS126" s="1013"/>
      <c r="GT126" s="1013"/>
      <c r="GU126" s="1013"/>
      <c r="GV126" s="1013"/>
      <c r="GW126" s="1013"/>
      <c r="GX126" s="1013"/>
      <c r="GY126" s="1013"/>
      <c r="GZ126" s="1013"/>
      <c r="HA126" s="1013"/>
    </row>
    <row r="127" spans="1:209" s="1013" customFormat="1" ht="39.75" customHeight="1">
      <c r="A127" s="994">
        <v>5</v>
      </c>
      <c r="B127" s="951" t="s">
        <v>794</v>
      </c>
      <c r="C127" s="952" t="s">
        <v>714</v>
      </c>
      <c r="D127" s="953" t="s">
        <v>153</v>
      </c>
      <c r="E127" s="1000">
        <v>1</v>
      </c>
      <c r="F127" s="955" t="s">
        <v>103</v>
      </c>
      <c r="G127" s="956">
        <v>5.8</v>
      </c>
      <c r="H127" s="957">
        <v>17697</v>
      </c>
      <c r="I127" s="955">
        <v>2</v>
      </c>
      <c r="J127" s="957">
        <f t="shared" ref="J127:J132" si="120">H127*G127*E127*I127</f>
        <v>205285.19999999998</v>
      </c>
      <c r="K127" s="958">
        <f t="shared" si="112"/>
        <v>205285.19999999998</v>
      </c>
      <c r="L127" s="958"/>
      <c r="M127" s="958"/>
      <c r="N127" s="958"/>
      <c r="O127" s="958"/>
      <c r="P127" s="958"/>
      <c r="Q127" s="958"/>
      <c r="R127" s="958"/>
      <c r="S127" s="958"/>
      <c r="T127" s="958"/>
      <c r="U127" s="958"/>
      <c r="V127" s="958"/>
      <c r="W127" s="958"/>
      <c r="X127" s="958"/>
      <c r="Y127" s="958">
        <v>50</v>
      </c>
      <c r="Z127" s="959">
        <f t="shared" si="119"/>
        <v>175</v>
      </c>
      <c r="AA127" s="959">
        <f t="shared" si="113"/>
        <v>359249.1</v>
      </c>
      <c r="AB127" s="959"/>
      <c r="AC127" s="959"/>
      <c r="AD127" s="958">
        <f t="shared" si="114"/>
        <v>20528.52</v>
      </c>
      <c r="AE127" s="958">
        <f t="shared" si="115"/>
        <v>585062.81999999995</v>
      </c>
      <c r="AF127" s="958">
        <f t="shared" si="116"/>
        <v>7020753.8399999999</v>
      </c>
      <c r="AG127" s="958">
        <f t="shared" si="117"/>
        <v>205285.19999999998</v>
      </c>
      <c r="AH127" s="958">
        <f t="shared" si="118"/>
        <v>7226039.04</v>
      </c>
      <c r="AI127" s="1022"/>
      <c r="AJ127" s="1022"/>
      <c r="AK127" s="1021"/>
      <c r="AL127" s="1021"/>
    </row>
    <row r="128" spans="1:209" s="1013" customFormat="1" ht="30.75" customHeight="1">
      <c r="A128" s="994">
        <v>6</v>
      </c>
      <c r="B128" s="951" t="s">
        <v>795</v>
      </c>
      <c r="C128" s="952" t="s">
        <v>714</v>
      </c>
      <c r="D128" s="953" t="s">
        <v>73</v>
      </c>
      <c r="E128" s="1000">
        <v>1</v>
      </c>
      <c r="F128" s="955" t="s">
        <v>76</v>
      </c>
      <c r="G128" s="956">
        <v>4.71</v>
      </c>
      <c r="H128" s="957">
        <v>17697</v>
      </c>
      <c r="I128" s="955">
        <v>2</v>
      </c>
      <c r="J128" s="957">
        <f t="shared" si="120"/>
        <v>166705.74</v>
      </c>
      <c r="K128" s="958">
        <f t="shared" si="112"/>
        <v>166705.74</v>
      </c>
      <c r="L128" s="958"/>
      <c r="M128" s="958"/>
      <c r="N128" s="958"/>
      <c r="O128" s="958"/>
      <c r="P128" s="958"/>
      <c r="Q128" s="958"/>
      <c r="R128" s="958"/>
      <c r="S128" s="958"/>
      <c r="T128" s="958"/>
      <c r="U128" s="958"/>
      <c r="V128" s="958"/>
      <c r="W128" s="958"/>
      <c r="X128" s="958"/>
      <c r="Y128" s="958">
        <v>30</v>
      </c>
      <c r="Z128" s="959">
        <f t="shared" si="119"/>
        <v>105</v>
      </c>
      <c r="AA128" s="959">
        <f>K128*Z128%</f>
        <v>175041.027</v>
      </c>
      <c r="AB128" s="959"/>
      <c r="AC128" s="959"/>
      <c r="AD128" s="958">
        <f t="shared" si="114"/>
        <v>16670.574000000001</v>
      </c>
      <c r="AE128" s="958">
        <f t="shared" si="115"/>
        <v>358417.34100000001</v>
      </c>
      <c r="AF128" s="958">
        <f t="shared" si="116"/>
        <v>4301008.0920000002</v>
      </c>
      <c r="AG128" s="958">
        <f t="shared" si="117"/>
        <v>166705.74</v>
      </c>
      <c r="AH128" s="958">
        <f t="shared" si="118"/>
        <v>4467713.8320000004</v>
      </c>
      <c r="AI128" s="1022"/>
      <c r="AJ128" s="1022"/>
      <c r="AK128" s="1021"/>
      <c r="AL128" s="1021"/>
    </row>
    <row r="129" spans="1:209" s="1013" customFormat="1" ht="59.25" customHeight="1">
      <c r="A129" s="994">
        <v>7</v>
      </c>
      <c r="B129" s="951" t="s">
        <v>1212</v>
      </c>
      <c r="C129" s="952"/>
      <c r="D129" s="953" t="s">
        <v>73</v>
      </c>
      <c r="E129" s="954">
        <v>1</v>
      </c>
      <c r="F129" s="958" t="s">
        <v>722</v>
      </c>
      <c r="G129" s="953">
        <v>4.1399999999999997</v>
      </c>
      <c r="H129" s="957">
        <v>17697</v>
      </c>
      <c r="I129" s="955">
        <v>2</v>
      </c>
      <c r="J129" s="958"/>
      <c r="K129" s="958">
        <f t="shared" si="112"/>
        <v>146531.15999999997</v>
      </c>
      <c r="L129" s="958"/>
      <c r="M129" s="958"/>
      <c r="N129" s="958"/>
      <c r="O129" s="958"/>
      <c r="P129" s="958"/>
      <c r="Q129" s="958"/>
      <c r="R129" s="958">
        <v>25</v>
      </c>
      <c r="S129" s="958">
        <f>E129*H129*R129%</f>
        <v>4424.25</v>
      </c>
      <c r="T129" s="958"/>
      <c r="U129" s="958"/>
      <c r="V129" s="958"/>
      <c r="W129" s="958"/>
      <c r="X129" s="958"/>
      <c r="Y129" s="958">
        <v>50</v>
      </c>
      <c r="Z129" s="959">
        <f t="shared" si="119"/>
        <v>175</v>
      </c>
      <c r="AA129" s="959">
        <f>K129*Z129%</f>
        <v>256429.52999999997</v>
      </c>
      <c r="AB129" s="959"/>
      <c r="AC129" s="959"/>
      <c r="AD129" s="958">
        <f t="shared" si="114"/>
        <v>14653.115999999998</v>
      </c>
      <c r="AE129" s="958">
        <f>K129+N129+O129+Q129+S129+U129+W129+X129+AA129+AD129+AC129</f>
        <v>422038.05599999992</v>
      </c>
      <c r="AF129" s="958">
        <f t="shared" si="116"/>
        <v>5064456.6719999993</v>
      </c>
      <c r="AG129" s="958">
        <f t="shared" si="117"/>
        <v>146531.15999999997</v>
      </c>
      <c r="AH129" s="958">
        <f t="shared" si="118"/>
        <v>5210987.8319999995</v>
      </c>
      <c r="AI129" s="1022"/>
      <c r="AJ129" s="1022"/>
      <c r="AK129" s="1021"/>
      <c r="AL129" s="1021"/>
    </row>
    <row r="130" spans="1:209" s="1013" customFormat="1" ht="54" customHeight="1">
      <c r="A130" s="994">
        <v>8</v>
      </c>
      <c r="B130" s="951" t="s">
        <v>796</v>
      </c>
      <c r="C130" s="951" t="s">
        <v>797</v>
      </c>
      <c r="D130" s="956" t="s">
        <v>73</v>
      </c>
      <c r="E130" s="1000">
        <v>1</v>
      </c>
      <c r="F130" s="955" t="s">
        <v>103</v>
      </c>
      <c r="G130" s="956">
        <v>4.6100000000000003</v>
      </c>
      <c r="H130" s="957">
        <v>17697</v>
      </c>
      <c r="I130" s="955">
        <v>2</v>
      </c>
      <c r="J130" s="957">
        <f t="shared" si="120"/>
        <v>163166.34000000003</v>
      </c>
      <c r="K130" s="958">
        <f t="shared" si="112"/>
        <v>163166.34000000003</v>
      </c>
      <c r="L130" s="958"/>
      <c r="M130" s="958"/>
      <c r="N130" s="958">
        <f>K130/164*0.5*58</f>
        <v>28852.584512195128</v>
      </c>
      <c r="O130" s="958">
        <f t="shared" ref="O130:O132" si="121">K130/164*0.5*2.67</f>
        <v>1328.213804268293</v>
      </c>
      <c r="P130" s="958"/>
      <c r="Q130" s="958"/>
      <c r="R130" s="958"/>
      <c r="S130" s="958"/>
      <c r="T130" s="958"/>
      <c r="U130" s="958"/>
      <c r="V130" s="958"/>
      <c r="W130" s="958"/>
      <c r="X130" s="958"/>
      <c r="Y130" s="958"/>
      <c r="Z130" s="958"/>
      <c r="AA130" s="959"/>
      <c r="AB130" s="959"/>
      <c r="AC130" s="959"/>
      <c r="AD130" s="958">
        <f t="shared" si="114"/>
        <v>16316.634000000004</v>
      </c>
      <c r="AE130" s="958">
        <f t="shared" si="115"/>
        <v>209663.77231646347</v>
      </c>
      <c r="AF130" s="958">
        <f t="shared" si="116"/>
        <v>2515965.2677975614</v>
      </c>
      <c r="AG130" s="958">
        <f t="shared" si="117"/>
        <v>163166.34000000003</v>
      </c>
      <c r="AH130" s="958">
        <f t="shared" si="118"/>
        <v>2679131.6077975612</v>
      </c>
      <c r="AI130" s="1022"/>
      <c r="AJ130" s="1022"/>
      <c r="AK130" s="1021"/>
      <c r="AL130" s="1021"/>
    </row>
    <row r="131" spans="1:209" s="1013" customFormat="1" ht="54" customHeight="1">
      <c r="A131" s="994">
        <v>9</v>
      </c>
      <c r="B131" s="951" t="s">
        <v>796</v>
      </c>
      <c r="C131" s="951" t="s">
        <v>797</v>
      </c>
      <c r="D131" s="956" t="s">
        <v>73</v>
      </c>
      <c r="E131" s="1000">
        <v>3</v>
      </c>
      <c r="F131" s="955" t="s">
        <v>167</v>
      </c>
      <c r="G131" s="956">
        <v>4.43</v>
      </c>
      <c r="H131" s="957">
        <v>17697</v>
      </c>
      <c r="I131" s="955">
        <v>2</v>
      </c>
      <c r="J131" s="957">
        <f t="shared" si="120"/>
        <v>470386.25999999995</v>
      </c>
      <c r="K131" s="958">
        <f t="shared" si="112"/>
        <v>470386.25999999995</v>
      </c>
      <c r="L131" s="958"/>
      <c r="M131" s="958"/>
      <c r="N131" s="958">
        <f t="shared" ref="N131:N132" si="122">K131/164*0.5*58</f>
        <v>83178.058170731703</v>
      </c>
      <c r="O131" s="958">
        <f t="shared" si="121"/>
        <v>3829.0588847560975</v>
      </c>
      <c r="P131" s="958"/>
      <c r="Q131" s="958"/>
      <c r="R131" s="958"/>
      <c r="S131" s="958"/>
      <c r="T131" s="958"/>
      <c r="U131" s="958"/>
      <c r="V131" s="958"/>
      <c r="W131" s="958"/>
      <c r="X131" s="958"/>
      <c r="Y131" s="958"/>
      <c r="Z131" s="958"/>
      <c r="AA131" s="959"/>
      <c r="AB131" s="959"/>
      <c r="AC131" s="959"/>
      <c r="AD131" s="958">
        <f t="shared" si="114"/>
        <v>47038.625999999997</v>
      </c>
      <c r="AE131" s="958">
        <f t="shared" si="115"/>
        <v>604432.00305548776</v>
      </c>
      <c r="AF131" s="958">
        <f t="shared" si="116"/>
        <v>7253184.0366658531</v>
      </c>
      <c r="AG131" s="958">
        <f t="shared" si="117"/>
        <v>470386.25999999995</v>
      </c>
      <c r="AH131" s="958">
        <f t="shared" si="118"/>
        <v>7723570.2966658529</v>
      </c>
      <c r="AI131" s="1022"/>
      <c r="AJ131" s="1022"/>
      <c r="AK131" s="1021"/>
      <c r="AL131" s="1021"/>
    </row>
    <row r="132" spans="1:209" s="1013" customFormat="1" ht="55.5" customHeight="1">
      <c r="A132" s="994">
        <v>10</v>
      </c>
      <c r="B132" s="951" t="s">
        <v>798</v>
      </c>
      <c r="C132" s="951" t="s">
        <v>799</v>
      </c>
      <c r="D132" s="1002">
        <v>6</v>
      </c>
      <c r="E132" s="1000">
        <v>4</v>
      </c>
      <c r="F132" s="955" t="s">
        <v>800</v>
      </c>
      <c r="G132" s="994">
        <v>2.97</v>
      </c>
      <c r="H132" s="957">
        <v>17697</v>
      </c>
      <c r="I132" s="955">
        <v>2</v>
      </c>
      <c r="J132" s="957">
        <f t="shared" si="120"/>
        <v>420480.72000000003</v>
      </c>
      <c r="K132" s="958">
        <f t="shared" si="112"/>
        <v>420480.72000000003</v>
      </c>
      <c r="L132" s="958"/>
      <c r="M132" s="958"/>
      <c r="N132" s="958">
        <f t="shared" si="122"/>
        <v>74353.298048780489</v>
      </c>
      <c r="O132" s="958">
        <f t="shared" si="121"/>
        <v>3422.8156170731709</v>
      </c>
      <c r="P132" s="958"/>
      <c r="Q132" s="958"/>
      <c r="R132" s="958"/>
      <c r="S132" s="958"/>
      <c r="T132" s="958"/>
      <c r="U132" s="958"/>
      <c r="V132" s="958"/>
      <c r="W132" s="958"/>
      <c r="X132" s="958"/>
      <c r="Y132" s="958"/>
      <c r="Z132" s="958"/>
      <c r="AA132" s="959"/>
      <c r="AB132" s="959"/>
      <c r="AC132" s="959"/>
      <c r="AD132" s="958">
        <f t="shared" si="114"/>
        <v>42048.072000000007</v>
      </c>
      <c r="AE132" s="958">
        <f t="shared" si="115"/>
        <v>540304.90566585364</v>
      </c>
      <c r="AF132" s="958">
        <f t="shared" si="116"/>
        <v>6483658.8679902442</v>
      </c>
      <c r="AG132" s="958">
        <f t="shared" si="117"/>
        <v>420480.72000000003</v>
      </c>
      <c r="AH132" s="958">
        <f t="shared" si="118"/>
        <v>6904139.5879902439</v>
      </c>
      <c r="AI132" s="1022"/>
      <c r="AJ132" s="1022"/>
      <c r="AK132" s="1021"/>
      <c r="AL132" s="1021"/>
    </row>
    <row r="133" spans="1:209" s="1013" customFormat="1" ht="63.75" customHeight="1">
      <c r="A133" s="994">
        <v>11</v>
      </c>
      <c r="B133" s="951" t="s">
        <v>801</v>
      </c>
      <c r="C133" s="951" t="s">
        <v>802</v>
      </c>
      <c r="D133" s="953" t="s">
        <v>73</v>
      </c>
      <c r="E133" s="1000">
        <v>1</v>
      </c>
      <c r="F133" s="950" t="s">
        <v>584</v>
      </c>
      <c r="G133" s="956">
        <v>4.2699999999999996</v>
      </c>
      <c r="H133" s="957">
        <v>17697</v>
      </c>
      <c r="I133" s="955">
        <v>2</v>
      </c>
      <c r="J133" s="958"/>
      <c r="K133" s="958">
        <f t="shared" si="112"/>
        <v>151132.37999999998</v>
      </c>
      <c r="L133" s="958"/>
      <c r="M133" s="958"/>
      <c r="N133" s="958"/>
      <c r="O133" s="958"/>
      <c r="P133" s="958"/>
      <c r="Q133" s="958"/>
      <c r="R133" s="958">
        <v>25</v>
      </c>
      <c r="S133" s="958">
        <f>E133*H133*R133%</f>
        <v>4424.25</v>
      </c>
      <c r="T133" s="958"/>
      <c r="U133" s="958"/>
      <c r="V133" s="958"/>
      <c r="W133" s="958"/>
      <c r="X133" s="958"/>
      <c r="Y133" s="958">
        <v>50</v>
      </c>
      <c r="Z133" s="959">
        <f>Y133*350%</f>
        <v>175</v>
      </c>
      <c r="AA133" s="959">
        <f t="shared" ref="AA133:AA136" si="123">K133*Z133%</f>
        <v>264481.66499999998</v>
      </c>
      <c r="AB133" s="959"/>
      <c r="AC133" s="959"/>
      <c r="AD133" s="958">
        <f t="shared" si="114"/>
        <v>15113.237999999998</v>
      </c>
      <c r="AE133" s="958">
        <f t="shared" si="115"/>
        <v>435151.53299999994</v>
      </c>
      <c r="AF133" s="958">
        <f t="shared" si="116"/>
        <v>5221818.3959999997</v>
      </c>
      <c r="AG133" s="958">
        <f t="shared" si="117"/>
        <v>151132.37999999998</v>
      </c>
      <c r="AH133" s="958">
        <f t="shared" si="118"/>
        <v>5372950.7759999996</v>
      </c>
      <c r="AI133" s="1022"/>
      <c r="AJ133" s="1022"/>
      <c r="AK133" s="1021"/>
      <c r="AL133" s="1021"/>
    </row>
    <row r="134" spans="1:209" s="1013" customFormat="1" ht="30.75" customHeight="1">
      <c r="A134" s="994">
        <v>12</v>
      </c>
      <c r="B134" s="951" t="s">
        <v>803</v>
      </c>
      <c r="C134" s="996" t="s">
        <v>804</v>
      </c>
      <c r="D134" s="953" t="s">
        <v>73</v>
      </c>
      <c r="E134" s="1000">
        <v>1</v>
      </c>
      <c r="F134" s="955" t="s">
        <v>103</v>
      </c>
      <c r="G134" s="956">
        <v>4.6100000000000003</v>
      </c>
      <c r="H134" s="957">
        <v>17697</v>
      </c>
      <c r="I134" s="955">
        <v>2</v>
      </c>
      <c r="J134" s="957">
        <f t="shared" ref="J134:J139" si="124">H134*G134*E134*I134</f>
        <v>163166.34000000003</v>
      </c>
      <c r="K134" s="958">
        <f t="shared" si="112"/>
        <v>163166.34000000003</v>
      </c>
      <c r="L134" s="958"/>
      <c r="M134" s="958"/>
      <c r="N134" s="958"/>
      <c r="O134" s="958"/>
      <c r="P134" s="958"/>
      <c r="Q134" s="958"/>
      <c r="R134" s="958"/>
      <c r="S134" s="958"/>
      <c r="T134" s="958"/>
      <c r="U134" s="958"/>
      <c r="V134" s="958"/>
      <c r="W134" s="958"/>
      <c r="X134" s="958"/>
      <c r="Y134" s="958">
        <v>30</v>
      </c>
      <c r="Z134" s="959">
        <f t="shared" ref="Z134:Z136" si="125">Y134*350%</f>
        <v>105</v>
      </c>
      <c r="AA134" s="959">
        <f t="shared" si="123"/>
        <v>171324.65700000004</v>
      </c>
      <c r="AB134" s="959"/>
      <c r="AC134" s="959"/>
      <c r="AD134" s="958">
        <f t="shared" si="114"/>
        <v>16316.634000000004</v>
      </c>
      <c r="AE134" s="958">
        <f t="shared" si="115"/>
        <v>350807.63100000011</v>
      </c>
      <c r="AF134" s="958">
        <f t="shared" si="116"/>
        <v>4209691.5720000016</v>
      </c>
      <c r="AG134" s="958">
        <f t="shared" si="117"/>
        <v>163166.34000000003</v>
      </c>
      <c r="AH134" s="958">
        <f t="shared" si="118"/>
        <v>4372857.9120000014</v>
      </c>
      <c r="AI134" s="1022"/>
      <c r="AJ134" s="1022"/>
      <c r="AK134" s="1021"/>
      <c r="AL134" s="1021"/>
    </row>
    <row r="135" spans="1:209" s="1013" customFormat="1" ht="39.75" customHeight="1">
      <c r="A135" s="994">
        <v>13</v>
      </c>
      <c r="B135" s="951" t="s">
        <v>805</v>
      </c>
      <c r="C135" s="952" t="s">
        <v>714</v>
      </c>
      <c r="D135" s="953" t="s">
        <v>73</v>
      </c>
      <c r="E135" s="1000">
        <v>1</v>
      </c>
      <c r="F135" s="950" t="s">
        <v>817</v>
      </c>
      <c r="G135" s="956">
        <v>4.0999999999999996</v>
      </c>
      <c r="H135" s="957">
        <v>17697</v>
      </c>
      <c r="I135" s="955">
        <v>2</v>
      </c>
      <c r="J135" s="957">
        <f t="shared" si="124"/>
        <v>145115.4</v>
      </c>
      <c r="K135" s="958">
        <f t="shared" si="112"/>
        <v>145115.4</v>
      </c>
      <c r="L135" s="958"/>
      <c r="M135" s="958"/>
      <c r="N135" s="958"/>
      <c r="O135" s="958"/>
      <c r="P135" s="958"/>
      <c r="Q135" s="958"/>
      <c r="R135" s="958"/>
      <c r="S135" s="958"/>
      <c r="T135" s="958"/>
      <c r="U135" s="958"/>
      <c r="V135" s="958"/>
      <c r="W135" s="958"/>
      <c r="X135" s="958"/>
      <c r="Y135" s="958">
        <v>30</v>
      </c>
      <c r="Z135" s="959">
        <f t="shared" si="125"/>
        <v>105</v>
      </c>
      <c r="AA135" s="959">
        <f t="shared" si="123"/>
        <v>152371.17000000001</v>
      </c>
      <c r="AB135" s="959"/>
      <c r="AC135" s="959"/>
      <c r="AD135" s="958">
        <f t="shared" si="114"/>
        <v>14511.54</v>
      </c>
      <c r="AE135" s="958">
        <f t="shared" si="115"/>
        <v>311998.11</v>
      </c>
      <c r="AF135" s="958">
        <f t="shared" si="116"/>
        <v>3743977.32</v>
      </c>
      <c r="AG135" s="958">
        <f t="shared" si="117"/>
        <v>145115.4</v>
      </c>
      <c r="AH135" s="958">
        <f t="shared" si="118"/>
        <v>3889092.7199999997</v>
      </c>
      <c r="AI135" s="1022"/>
      <c r="AJ135" s="1022"/>
      <c r="AK135" s="1021"/>
      <c r="AL135" s="1021"/>
    </row>
    <row r="136" spans="1:209" s="1013" customFormat="1" ht="43.5" customHeight="1">
      <c r="A136" s="994">
        <v>14</v>
      </c>
      <c r="B136" s="951" t="s">
        <v>806</v>
      </c>
      <c r="C136" s="996" t="s">
        <v>807</v>
      </c>
      <c r="D136" s="953" t="s">
        <v>73</v>
      </c>
      <c r="E136" s="1000">
        <v>1</v>
      </c>
      <c r="F136" s="994" t="s">
        <v>585</v>
      </c>
      <c r="G136" s="956">
        <v>4.51</v>
      </c>
      <c r="H136" s="957">
        <v>17697</v>
      </c>
      <c r="I136" s="955">
        <v>2</v>
      </c>
      <c r="J136" s="957">
        <f t="shared" si="124"/>
        <v>159626.94</v>
      </c>
      <c r="K136" s="958">
        <f t="shared" si="112"/>
        <v>159626.94</v>
      </c>
      <c r="L136" s="958"/>
      <c r="M136" s="958"/>
      <c r="N136" s="958"/>
      <c r="O136" s="958"/>
      <c r="P136" s="958"/>
      <c r="Q136" s="958"/>
      <c r="R136" s="958"/>
      <c r="S136" s="958"/>
      <c r="T136" s="958"/>
      <c r="U136" s="958"/>
      <c r="V136" s="958"/>
      <c r="W136" s="958"/>
      <c r="X136" s="958"/>
      <c r="Y136" s="958">
        <v>30</v>
      </c>
      <c r="Z136" s="959">
        <f t="shared" si="125"/>
        <v>105</v>
      </c>
      <c r="AA136" s="959">
        <f t="shared" si="123"/>
        <v>167608.28700000001</v>
      </c>
      <c r="AB136" s="959"/>
      <c r="AC136" s="959"/>
      <c r="AD136" s="958">
        <f t="shared" si="114"/>
        <v>15962.694000000001</v>
      </c>
      <c r="AE136" s="958">
        <f t="shared" si="115"/>
        <v>343197.92100000003</v>
      </c>
      <c r="AF136" s="958">
        <f t="shared" si="116"/>
        <v>4118375.0520000001</v>
      </c>
      <c r="AG136" s="958">
        <f t="shared" si="117"/>
        <v>159626.94</v>
      </c>
      <c r="AH136" s="958">
        <f t="shared" si="118"/>
        <v>4278001.9920000006</v>
      </c>
      <c r="AI136" s="1022"/>
      <c r="AJ136" s="1022"/>
      <c r="AK136" s="1021"/>
      <c r="AL136" s="1021"/>
    </row>
    <row r="137" spans="1:209" s="1013" customFormat="1" ht="30.75" customHeight="1">
      <c r="A137" s="994">
        <v>15</v>
      </c>
      <c r="B137" s="951" t="s">
        <v>808</v>
      </c>
      <c r="C137" s="951" t="s">
        <v>809</v>
      </c>
      <c r="D137" s="1002">
        <v>4</v>
      </c>
      <c r="E137" s="1000">
        <v>4</v>
      </c>
      <c r="F137" s="955" t="s">
        <v>777</v>
      </c>
      <c r="G137" s="994">
        <v>2.9</v>
      </c>
      <c r="H137" s="957">
        <v>17697</v>
      </c>
      <c r="I137" s="955">
        <v>2</v>
      </c>
      <c r="J137" s="957">
        <f t="shared" si="124"/>
        <v>410570.39999999997</v>
      </c>
      <c r="K137" s="958">
        <f t="shared" si="112"/>
        <v>410570.39999999997</v>
      </c>
      <c r="L137" s="958"/>
      <c r="M137" s="958"/>
      <c r="N137" s="958"/>
      <c r="O137" s="958"/>
      <c r="P137" s="958"/>
      <c r="Q137" s="958"/>
      <c r="R137" s="958"/>
      <c r="S137" s="958"/>
      <c r="T137" s="958"/>
      <c r="U137" s="958"/>
      <c r="V137" s="958"/>
      <c r="W137" s="958"/>
      <c r="X137" s="958"/>
      <c r="Y137" s="958"/>
      <c r="Z137" s="958"/>
      <c r="AA137" s="959"/>
      <c r="AB137" s="959"/>
      <c r="AC137" s="959"/>
      <c r="AD137" s="958">
        <f t="shared" si="114"/>
        <v>41057.040000000001</v>
      </c>
      <c r="AE137" s="958">
        <f t="shared" si="115"/>
        <v>451627.43999999994</v>
      </c>
      <c r="AF137" s="958">
        <f t="shared" si="116"/>
        <v>5419529.2799999993</v>
      </c>
      <c r="AG137" s="958">
        <f t="shared" si="117"/>
        <v>410570.39999999997</v>
      </c>
      <c r="AH137" s="958">
        <f t="shared" si="118"/>
        <v>5830099.6799999997</v>
      </c>
      <c r="AI137" s="1022"/>
      <c r="AJ137" s="1022"/>
      <c r="AK137" s="1021"/>
      <c r="AL137" s="1021"/>
    </row>
    <row r="138" spans="1:209" s="1013" customFormat="1" ht="30.75" customHeight="1">
      <c r="A138" s="994">
        <v>16</v>
      </c>
      <c r="B138" s="951" t="s">
        <v>1213</v>
      </c>
      <c r="C138" s="951" t="s">
        <v>810</v>
      </c>
      <c r="D138" s="1002">
        <v>4</v>
      </c>
      <c r="E138" s="1000">
        <v>4</v>
      </c>
      <c r="F138" s="955" t="s">
        <v>777</v>
      </c>
      <c r="G138" s="994">
        <v>2.9</v>
      </c>
      <c r="H138" s="957">
        <v>17697</v>
      </c>
      <c r="I138" s="955">
        <v>2</v>
      </c>
      <c r="J138" s="957">
        <f t="shared" si="124"/>
        <v>410570.39999999997</v>
      </c>
      <c r="K138" s="958">
        <f t="shared" si="112"/>
        <v>410570.39999999997</v>
      </c>
      <c r="L138" s="958"/>
      <c r="M138" s="958"/>
      <c r="N138" s="958"/>
      <c r="O138" s="958"/>
      <c r="P138" s="958"/>
      <c r="Q138" s="958"/>
      <c r="R138" s="958"/>
      <c r="S138" s="958"/>
      <c r="T138" s="958"/>
      <c r="U138" s="958"/>
      <c r="V138" s="958"/>
      <c r="W138" s="958"/>
      <c r="X138" s="958"/>
      <c r="Y138" s="958"/>
      <c r="Z138" s="958"/>
      <c r="AA138" s="959"/>
      <c r="AB138" s="959"/>
      <c r="AC138" s="959"/>
      <c r="AD138" s="958">
        <f t="shared" si="114"/>
        <v>41057.040000000001</v>
      </c>
      <c r="AE138" s="958">
        <f t="shared" si="115"/>
        <v>451627.43999999994</v>
      </c>
      <c r="AF138" s="958">
        <f t="shared" si="116"/>
        <v>5419529.2799999993</v>
      </c>
      <c r="AG138" s="958">
        <f t="shared" si="117"/>
        <v>410570.39999999997</v>
      </c>
      <c r="AH138" s="958">
        <f t="shared" si="118"/>
        <v>5830099.6799999997</v>
      </c>
      <c r="AI138" s="1022"/>
      <c r="AJ138" s="1022"/>
      <c r="AK138" s="1021"/>
      <c r="AL138" s="1021"/>
    </row>
    <row r="139" spans="1:209" s="1013" customFormat="1" ht="30.75" customHeight="1">
      <c r="A139" s="994">
        <v>17</v>
      </c>
      <c r="B139" s="951" t="s">
        <v>1214</v>
      </c>
      <c r="C139" s="951" t="s">
        <v>810</v>
      </c>
      <c r="D139" s="1002">
        <v>4</v>
      </c>
      <c r="E139" s="1000">
        <v>1</v>
      </c>
      <c r="F139" s="955" t="s">
        <v>777</v>
      </c>
      <c r="G139" s="994">
        <v>2.9</v>
      </c>
      <c r="H139" s="957">
        <v>17697</v>
      </c>
      <c r="I139" s="955">
        <v>2</v>
      </c>
      <c r="J139" s="957">
        <f t="shared" si="124"/>
        <v>102642.59999999999</v>
      </c>
      <c r="K139" s="958">
        <f t="shared" si="112"/>
        <v>102642.59999999999</v>
      </c>
      <c r="L139" s="958"/>
      <c r="M139" s="958"/>
      <c r="N139" s="958"/>
      <c r="O139" s="958"/>
      <c r="P139" s="958"/>
      <c r="Q139" s="958"/>
      <c r="R139" s="958"/>
      <c r="S139" s="958"/>
      <c r="T139" s="958"/>
      <c r="U139" s="958"/>
      <c r="V139" s="958"/>
      <c r="W139" s="958"/>
      <c r="X139" s="958"/>
      <c r="Y139" s="958"/>
      <c r="Z139" s="958"/>
      <c r="AA139" s="959"/>
      <c r="AB139" s="959"/>
      <c r="AC139" s="959"/>
      <c r="AD139" s="958">
        <f t="shared" si="114"/>
        <v>10264.26</v>
      </c>
      <c r="AE139" s="958">
        <f t="shared" si="115"/>
        <v>112906.85999999999</v>
      </c>
      <c r="AF139" s="958">
        <f t="shared" si="116"/>
        <v>1354882.3199999998</v>
      </c>
      <c r="AG139" s="958">
        <f t="shared" si="117"/>
        <v>102642.59999999999</v>
      </c>
      <c r="AH139" s="958">
        <f t="shared" si="118"/>
        <v>1457524.92</v>
      </c>
      <c r="AI139" s="1022"/>
      <c r="AJ139" s="1022"/>
      <c r="AK139" s="1021"/>
      <c r="AL139" s="1021"/>
    </row>
    <row r="140" spans="1:209" s="1013" customFormat="1" ht="27" customHeight="1">
      <c r="A140" s="963"/>
      <c r="B140" s="1001" t="s">
        <v>627</v>
      </c>
      <c r="C140" s="964"/>
      <c r="D140" s="998"/>
      <c r="E140" s="999">
        <f>SUM(E123:E139)</f>
        <v>28</v>
      </c>
      <c r="F140" s="998"/>
      <c r="G140" s="998"/>
      <c r="H140" s="998"/>
      <c r="I140" s="998"/>
      <c r="J140" s="998"/>
      <c r="K140" s="999">
        <f>SUM(K123:K139)</f>
        <v>3887323.0199999996</v>
      </c>
      <c r="L140" s="999">
        <f>SUM(L123:L138)</f>
        <v>2</v>
      </c>
      <c r="M140" s="999">
        <f>SUM(M123:M138)</f>
        <v>0</v>
      </c>
      <c r="N140" s="999">
        <f>SUM(N123:N138)</f>
        <v>186383.94073170732</v>
      </c>
      <c r="O140" s="999">
        <f>SUM(O123:O138)</f>
        <v>8580.0883060975611</v>
      </c>
      <c r="P140" s="999"/>
      <c r="Q140" s="999">
        <f>SUM(Q123:Q138)</f>
        <v>0</v>
      </c>
      <c r="R140" s="999"/>
      <c r="S140" s="999">
        <f>SUM(S123:S138)</f>
        <v>13272.75</v>
      </c>
      <c r="T140" s="965"/>
      <c r="U140" s="999">
        <f>SUM(U123:U138)</f>
        <v>0</v>
      </c>
      <c r="V140" s="965"/>
      <c r="W140" s="999">
        <f>SUM(W123:W138)</f>
        <v>0</v>
      </c>
      <c r="X140" s="965"/>
      <c r="Y140" s="965"/>
      <c r="Z140" s="965"/>
      <c r="AA140" s="999">
        <f>SUM(AA123:AA138)</f>
        <v>2945718.7409999999</v>
      </c>
      <c r="AB140" s="961"/>
      <c r="AC140" s="961"/>
      <c r="AD140" s="999">
        <f>SUM(AD123:AD139)</f>
        <v>388732.30199999997</v>
      </c>
      <c r="AE140" s="999">
        <f t="shared" ref="AE140:AH140" si="126">SUM(AE123:AE139)</f>
        <v>7430010.8420378035</v>
      </c>
      <c r="AF140" s="999">
        <f t="shared" si="126"/>
        <v>89160130.104453638</v>
      </c>
      <c r="AG140" s="999">
        <f t="shared" si="126"/>
        <v>3887323.0199999996</v>
      </c>
      <c r="AH140" s="999">
        <f t="shared" si="126"/>
        <v>93047453.124453679</v>
      </c>
      <c r="AI140" s="1022"/>
      <c r="AJ140" s="1022"/>
      <c r="AK140" s="1021"/>
      <c r="AL140" s="1021"/>
    </row>
    <row r="141" spans="1:209" s="1003" customFormat="1" ht="30.75" customHeight="1">
      <c r="A141" s="950"/>
      <c r="B141" s="952"/>
      <c r="C141" s="964"/>
      <c r="D141" s="963"/>
      <c r="E141" s="963"/>
      <c r="F141" s="963"/>
      <c r="G141" s="963"/>
      <c r="H141" s="963"/>
      <c r="I141" s="963"/>
      <c r="J141" s="963"/>
      <c r="K141" s="963"/>
      <c r="L141" s="963"/>
      <c r="M141" s="963"/>
      <c r="N141" s="963"/>
      <c r="O141" s="963"/>
      <c r="P141" s="963"/>
      <c r="Q141" s="966" t="s">
        <v>1215</v>
      </c>
      <c r="R141" s="963"/>
      <c r="S141" s="963"/>
      <c r="T141" s="963"/>
      <c r="U141" s="963"/>
      <c r="V141" s="963"/>
      <c r="W141" s="963"/>
      <c r="X141" s="963"/>
      <c r="Y141" s="963"/>
      <c r="Z141" s="963"/>
      <c r="AA141" s="963"/>
      <c r="AB141" s="963"/>
      <c r="AC141" s="963"/>
      <c r="AD141" s="963"/>
      <c r="AE141" s="963"/>
      <c r="AF141" s="963"/>
      <c r="AG141" s="963"/>
      <c r="AH141" s="963"/>
      <c r="AI141" s="1022"/>
      <c r="AJ141" s="1042"/>
      <c r="AK141" s="1021"/>
      <c r="AL141" s="1021"/>
      <c r="AM141" s="1013"/>
      <c r="AN141" s="1013"/>
      <c r="AO141" s="1013"/>
      <c r="AP141" s="1013"/>
      <c r="AQ141" s="1013"/>
      <c r="AR141" s="1013"/>
      <c r="AS141" s="1013"/>
      <c r="AT141" s="1013"/>
      <c r="AU141" s="1013"/>
      <c r="AV141" s="1013"/>
      <c r="AW141" s="1013"/>
      <c r="AX141" s="1013"/>
      <c r="AY141" s="1013"/>
      <c r="AZ141" s="1013"/>
      <c r="BA141" s="1013"/>
      <c r="BB141" s="1013"/>
      <c r="BC141" s="1013"/>
      <c r="BD141" s="1013"/>
      <c r="BE141" s="1013"/>
      <c r="BF141" s="1013"/>
      <c r="BG141" s="1013"/>
      <c r="BH141" s="1013"/>
      <c r="BI141" s="1013"/>
      <c r="BJ141" s="1013"/>
      <c r="BK141" s="1013"/>
      <c r="BL141" s="1013"/>
      <c r="BM141" s="1013"/>
      <c r="BN141" s="1013"/>
      <c r="BO141" s="1013"/>
      <c r="BP141" s="1013"/>
      <c r="BQ141" s="1013"/>
      <c r="BR141" s="1013"/>
      <c r="BS141" s="1013"/>
      <c r="BT141" s="1013"/>
      <c r="BU141" s="1013"/>
      <c r="BV141" s="1013"/>
      <c r="BW141" s="1013"/>
      <c r="BX141" s="1013"/>
      <c r="BY141" s="1013"/>
      <c r="BZ141" s="1013"/>
      <c r="CA141" s="1013"/>
      <c r="CB141" s="1013"/>
      <c r="CC141" s="1013"/>
      <c r="CD141" s="1013"/>
      <c r="CE141" s="1013"/>
      <c r="CF141" s="1013"/>
      <c r="CG141" s="1013"/>
      <c r="CH141" s="1013"/>
      <c r="CI141" s="1013"/>
      <c r="CJ141" s="1013"/>
      <c r="CK141" s="1013"/>
      <c r="CL141" s="1013"/>
      <c r="CM141" s="1013"/>
      <c r="CN141" s="1013"/>
      <c r="CO141" s="1013"/>
      <c r="CP141" s="1013"/>
      <c r="CQ141" s="1013"/>
      <c r="CR141" s="1013"/>
      <c r="CS141" s="1013"/>
      <c r="CT141" s="1013"/>
      <c r="CU141" s="1013"/>
      <c r="CV141" s="1013"/>
      <c r="CW141" s="1013"/>
      <c r="CX141" s="1013"/>
      <c r="CY141" s="1013"/>
      <c r="CZ141" s="1013"/>
      <c r="DA141" s="1013"/>
      <c r="DB141" s="1013"/>
      <c r="DC141" s="1013"/>
      <c r="DD141" s="1013"/>
      <c r="DE141" s="1013"/>
      <c r="DF141" s="1013"/>
      <c r="DG141" s="1013"/>
      <c r="DH141" s="1013"/>
      <c r="DI141" s="1013"/>
      <c r="DJ141" s="1013"/>
      <c r="DK141" s="1013"/>
      <c r="DL141" s="1013"/>
      <c r="DM141" s="1013"/>
      <c r="DN141" s="1013"/>
      <c r="DO141" s="1013"/>
      <c r="DP141" s="1013"/>
      <c r="DQ141" s="1013"/>
      <c r="DR141" s="1013"/>
      <c r="DS141" s="1013"/>
      <c r="DT141" s="1013"/>
      <c r="DU141" s="1013"/>
      <c r="DV141" s="1013"/>
      <c r="DW141" s="1013"/>
      <c r="DX141" s="1013"/>
      <c r="DY141" s="1013"/>
      <c r="DZ141" s="1013"/>
      <c r="EA141" s="1013"/>
      <c r="EB141" s="1013"/>
      <c r="EC141" s="1013"/>
      <c r="ED141" s="1013"/>
      <c r="EE141" s="1013"/>
      <c r="EF141" s="1013"/>
      <c r="EG141" s="1013"/>
      <c r="EH141" s="1013"/>
      <c r="EI141" s="1013"/>
      <c r="EJ141" s="1013"/>
      <c r="EK141" s="1013"/>
      <c r="EL141" s="1013"/>
      <c r="EM141" s="1013"/>
      <c r="EN141" s="1013"/>
      <c r="EO141" s="1013"/>
      <c r="EP141" s="1013"/>
      <c r="EQ141" s="1013"/>
      <c r="ER141" s="1013"/>
      <c r="ES141" s="1013"/>
      <c r="ET141" s="1013"/>
      <c r="EU141" s="1013"/>
      <c r="EV141" s="1013"/>
      <c r="EW141" s="1013"/>
      <c r="EX141" s="1013"/>
      <c r="EY141" s="1013"/>
      <c r="EZ141" s="1013"/>
      <c r="FA141" s="1013"/>
      <c r="FB141" s="1013"/>
      <c r="FC141" s="1013"/>
      <c r="FD141" s="1013"/>
      <c r="FE141" s="1013"/>
      <c r="FF141" s="1013"/>
      <c r="FG141" s="1013"/>
      <c r="FH141" s="1013"/>
      <c r="FI141" s="1013"/>
      <c r="FJ141" s="1013"/>
      <c r="FK141" s="1013"/>
      <c r="FL141" s="1013"/>
      <c r="FM141" s="1013"/>
      <c r="FN141" s="1013"/>
      <c r="FO141" s="1013"/>
      <c r="FP141" s="1013"/>
      <c r="FQ141" s="1013"/>
      <c r="FR141" s="1013"/>
      <c r="FS141" s="1013"/>
      <c r="FT141" s="1013"/>
      <c r="FU141" s="1013"/>
      <c r="FV141" s="1013"/>
      <c r="FW141" s="1013"/>
      <c r="FX141" s="1013"/>
      <c r="FY141" s="1013"/>
      <c r="FZ141" s="1013"/>
      <c r="GA141" s="1013"/>
      <c r="GB141" s="1013"/>
      <c r="GC141" s="1013"/>
      <c r="GD141" s="1013"/>
      <c r="GE141" s="1013"/>
      <c r="GF141" s="1013"/>
      <c r="GG141" s="1013"/>
      <c r="GH141" s="1013"/>
      <c r="GI141" s="1013"/>
      <c r="GJ141" s="1013"/>
      <c r="GK141" s="1013"/>
      <c r="GL141" s="1013"/>
      <c r="GM141" s="1013"/>
      <c r="GN141" s="1013"/>
      <c r="GO141" s="1013"/>
      <c r="GP141" s="1013"/>
      <c r="GQ141" s="1013"/>
      <c r="GR141" s="1013"/>
      <c r="GS141" s="1013"/>
      <c r="GT141" s="1013"/>
      <c r="GU141" s="1013"/>
      <c r="GV141" s="1013"/>
      <c r="GW141" s="1013"/>
      <c r="GX141" s="1013"/>
      <c r="GY141" s="1013"/>
      <c r="GZ141" s="1013"/>
      <c r="HA141" s="1013"/>
    </row>
    <row r="142" spans="1:209" s="1003" customFormat="1" ht="30.75" customHeight="1">
      <c r="A142" s="994">
        <v>1</v>
      </c>
      <c r="B142" s="951" t="s">
        <v>150</v>
      </c>
      <c r="C142" s="996" t="s">
        <v>811</v>
      </c>
      <c r="D142" s="953" t="s">
        <v>151</v>
      </c>
      <c r="E142" s="994">
        <v>1</v>
      </c>
      <c r="F142" s="950" t="s">
        <v>1210</v>
      </c>
      <c r="G142" s="956">
        <v>5.62</v>
      </c>
      <c r="H142" s="957">
        <v>17697</v>
      </c>
      <c r="I142" s="955">
        <v>2</v>
      </c>
      <c r="J142" s="957">
        <f t="shared" ref="J142" si="127">H142*G142*E142*I142</f>
        <v>198914.28</v>
      </c>
      <c r="K142" s="958">
        <f t="shared" ref="K142" si="128">H142*G142*E142*I142</f>
        <v>198914.28</v>
      </c>
      <c r="L142" s="998"/>
      <c r="M142" s="998"/>
      <c r="N142" s="958"/>
      <c r="O142" s="958"/>
      <c r="P142" s="958"/>
      <c r="Q142" s="958"/>
      <c r="R142" s="958"/>
      <c r="S142" s="958"/>
      <c r="T142" s="958"/>
      <c r="U142" s="958"/>
      <c r="V142" s="958"/>
      <c r="W142" s="958"/>
      <c r="X142" s="958"/>
      <c r="Y142" s="958">
        <v>80</v>
      </c>
      <c r="Z142" s="959">
        <f>Y142*350%</f>
        <v>280</v>
      </c>
      <c r="AA142" s="959">
        <f t="shared" ref="AA142" si="129">K142*Z142%</f>
        <v>556959.98399999994</v>
      </c>
      <c r="AB142" s="959"/>
      <c r="AC142" s="959"/>
      <c r="AD142" s="958">
        <f t="shared" ref="AD142" si="130">K142*0.1</f>
        <v>19891.428</v>
      </c>
      <c r="AE142" s="958">
        <f t="shared" ref="AE142" si="131">K142+N142+O142+Q142+S142+U142+W142+X142+AA142+AD142+AC142</f>
        <v>775765.69199999992</v>
      </c>
      <c r="AF142" s="958">
        <f t="shared" ref="AF142" si="132">AE142*12</f>
        <v>9309188.3039999995</v>
      </c>
      <c r="AG142" s="958">
        <f t="shared" ref="AG142" si="133">K142</f>
        <v>198914.28</v>
      </c>
      <c r="AH142" s="958">
        <f t="shared" ref="AH142" si="134">AE142*12+AG142</f>
        <v>9508102.5839999989</v>
      </c>
      <c r="AI142" s="1022">
        <v>8473748.3279999997</v>
      </c>
      <c r="AJ142" s="1042">
        <f>AF142-AI142</f>
        <v>835439.97599999979</v>
      </c>
      <c r="AK142" s="1021"/>
      <c r="AL142" s="1021"/>
      <c r="AM142" s="1013"/>
      <c r="AN142" s="1013"/>
      <c r="AO142" s="1013"/>
      <c r="AP142" s="1013"/>
      <c r="AQ142" s="1013"/>
      <c r="AR142" s="1013"/>
      <c r="AS142" s="1013"/>
      <c r="AT142" s="1013"/>
      <c r="AU142" s="1013"/>
      <c r="AV142" s="1013"/>
      <c r="AW142" s="1013"/>
      <c r="AX142" s="1013"/>
      <c r="AY142" s="1013"/>
      <c r="AZ142" s="1013"/>
      <c r="BA142" s="1013"/>
      <c r="BB142" s="1013"/>
      <c r="BC142" s="1013"/>
      <c r="BD142" s="1013"/>
      <c r="BE142" s="1013"/>
      <c r="BF142" s="1013"/>
      <c r="BG142" s="1013"/>
      <c r="BH142" s="1013"/>
      <c r="BI142" s="1013"/>
      <c r="BJ142" s="1013"/>
      <c r="BK142" s="1013"/>
      <c r="BL142" s="1013"/>
      <c r="BM142" s="1013"/>
      <c r="BN142" s="1013"/>
      <c r="BO142" s="1013"/>
      <c r="BP142" s="1013"/>
      <c r="BQ142" s="1013"/>
      <c r="BR142" s="1013"/>
      <c r="BS142" s="1013"/>
      <c r="BT142" s="1013"/>
      <c r="BU142" s="1013"/>
      <c r="BV142" s="1013"/>
      <c r="BW142" s="1013"/>
      <c r="BX142" s="1013"/>
      <c r="BY142" s="1013"/>
      <c r="BZ142" s="1013"/>
      <c r="CA142" s="1013"/>
      <c r="CB142" s="1013"/>
      <c r="CC142" s="1013"/>
      <c r="CD142" s="1013"/>
      <c r="CE142" s="1013"/>
      <c r="CF142" s="1013"/>
      <c r="CG142" s="1013"/>
      <c r="CH142" s="1013"/>
      <c r="CI142" s="1013"/>
      <c r="CJ142" s="1013"/>
      <c r="CK142" s="1013"/>
      <c r="CL142" s="1013"/>
      <c r="CM142" s="1013"/>
      <c r="CN142" s="1013"/>
      <c r="CO142" s="1013"/>
      <c r="CP142" s="1013"/>
      <c r="CQ142" s="1013"/>
      <c r="CR142" s="1013"/>
      <c r="CS142" s="1013"/>
      <c r="CT142" s="1013"/>
      <c r="CU142" s="1013"/>
      <c r="CV142" s="1013"/>
      <c r="CW142" s="1013"/>
      <c r="CX142" s="1013"/>
      <c r="CY142" s="1013"/>
      <c r="CZ142" s="1013"/>
      <c r="DA142" s="1013"/>
      <c r="DB142" s="1013"/>
      <c r="DC142" s="1013"/>
      <c r="DD142" s="1013"/>
      <c r="DE142" s="1013"/>
      <c r="DF142" s="1013"/>
      <c r="DG142" s="1013"/>
      <c r="DH142" s="1013"/>
      <c r="DI142" s="1013"/>
      <c r="DJ142" s="1013"/>
      <c r="DK142" s="1013"/>
      <c r="DL142" s="1013"/>
      <c r="DM142" s="1013"/>
      <c r="DN142" s="1013"/>
      <c r="DO142" s="1013"/>
      <c r="DP142" s="1013"/>
      <c r="DQ142" s="1013"/>
      <c r="DR142" s="1013"/>
      <c r="DS142" s="1013"/>
      <c r="DT142" s="1013"/>
      <c r="DU142" s="1013"/>
      <c r="DV142" s="1013"/>
      <c r="DW142" s="1013"/>
      <c r="DX142" s="1013"/>
      <c r="DY142" s="1013"/>
      <c r="DZ142" s="1013"/>
      <c r="EA142" s="1013"/>
      <c r="EB142" s="1013"/>
      <c r="EC142" s="1013"/>
      <c r="ED142" s="1013"/>
      <c r="EE142" s="1013"/>
      <c r="EF142" s="1013"/>
      <c r="EG142" s="1013"/>
      <c r="EH142" s="1013"/>
      <c r="EI142" s="1013"/>
      <c r="EJ142" s="1013"/>
      <c r="EK142" s="1013"/>
      <c r="EL142" s="1013"/>
      <c r="EM142" s="1013"/>
      <c r="EN142" s="1013"/>
      <c r="EO142" s="1013"/>
      <c r="EP142" s="1013"/>
      <c r="EQ142" s="1013"/>
      <c r="ER142" s="1013"/>
      <c r="ES142" s="1013"/>
      <c r="ET142" s="1013"/>
      <c r="EU142" s="1013"/>
      <c r="EV142" s="1013"/>
      <c r="EW142" s="1013"/>
      <c r="EX142" s="1013"/>
      <c r="EY142" s="1013"/>
      <c r="EZ142" s="1013"/>
      <c r="FA142" s="1013"/>
      <c r="FB142" s="1013"/>
      <c r="FC142" s="1013"/>
      <c r="FD142" s="1013"/>
      <c r="FE142" s="1013"/>
      <c r="FF142" s="1013"/>
      <c r="FG142" s="1013"/>
      <c r="FH142" s="1013"/>
      <c r="FI142" s="1013"/>
      <c r="FJ142" s="1013"/>
      <c r="FK142" s="1013"/>
      <c r="FL142" s="1013"/>
      <c r="FM142" s="1013"/>
      <c r="FN142" s="1013"/>
      <c r="FO142" s="1013"/>
      <c r="FP142" s="1013"/>
      <c r="FQ142" s="1013"/>
      <c r="FR142" s="1013"/>
      <c r="FS142" s="1013"/>
      <c r="FT142" s="1013"/>
      <c r="FU142" s="1013"/>
      <c r="FV142" s="1013"/>
      <c r="FW142" s="1013"/>
      <c r="FX142" s="1013"/>
      <c r="FY142" s="1013"/>
      <c r="FZ142" s="1013"/>
      <c r="GA142" s="1013"/>
      <c r="GB142" s="1013"/>
      <c r="GC142" s="1013"/>
      <c r="GD142" s="1013"/>
      <c r="GE142" s="1013"/>
      <c r="GF142" s="1013"/>
      <c r="GG142" s="1013"/>
      <c r="GH142" s="1013"/>
      <c r="GI142" s="1013"/>
      <c r="GJ142" s="1013"/>
      <c r="GK142" s="1013"/>
      <c r="GL142" s="1013"/>
      <c r="GM142" s="1013"/>
      <c r="GN142" s="1013"/>
      <c r="GO142" s="1013"/>
      <c r="GP142" s="1013"/>
      <c r="GQ142" s="1013"/>
      <c r="GR142" s="1013"/>
      <c r="GS142" s="1013"/>
      <c r="GT142" s="1013"/>
      <c r="GU142" s="1013"/>
      <c r="GV142" s="1013"/>
      <c r="GW142" s="1013"/>
      <c r="GX142" s="1013"/>
      <c r="GY142" s="1013"/>
      <c r="GZ142" s="1013"/>
      <c r="HA142" s="1013"/>
    </row>
    <row r="143" spans="1:209" s="1003" customFormat="1" ht="30.75" customHeight="1">
      <c r="A143" s="950"/>
      <c r="B143" s="952"/>
      <c r="C143" s="964"/>
      <c r="D143" s="963"/>
      <c r="E143" s="963"/>
      <c r="F143" s="963"/>
      <c r="G143" s="963"/>
      <c r="H143" s="963"/>
      <c r="I143" s="963"/>
      <c r="J143" s="963"/>
      <c r="K143" s="963"/>
      <c r="L143" s="963"/>
      <c r="M143" s="963"/>
      <c r="N143" s="963"/>
      <c r="O143" s="963"/>
      <c r="P143" s="963"/>
      <c r="Q143" s="966" t="s">
        <v>1216</v>
      </c>
      <c r="R143" s="963"/>
      <c r="S143" s="963"/>
      <c r="T143" s="963"/>
      <c r="U143" s="963"/>
      <c r="V143" s="963"/>
      <c r="W143" s="963"/>
      <c r="X143" s="963"/>
      <c r="Y143" s="963"/>
      <c r="Z143" s="963"/>
      <c r="AA143" s="963"/>
      <c r="AB143" s="963"/>
      <c r="AC143" s="963"/>
      <c r="AD143" s="963"/>
      <c r="AE143" s="963"/>
      <c r="AF143" s="963"/>
      <c r="AG143" s="963"/>
      <c r="AH143" s="963"/>
      <c r="AI143" s="1022"/>
      <c r="AJ143" s="1042"/>
      <c r="AK143" s="1021"/>
      <c r="AL143" s="1021"/>
      <c r="AM143" s="1013"/>
      <c r="AN143" s="1013"/>
      <c r="AO143" s="1013"/>
      <c r="AP143" s="1013"/>
      <c r="AQ143" s="1013"/>
      <c r="AR143" s="1013"/>
      <c r="AS143" s="1013"/>
      <c r="AT143" s="1013"/>
      <c r="AU143" s="1013"/>
      <c r="AV143" s="1013"/>
      <c r="AW143" s="1013"/>
      <c r="AX143" s="1013"/>
      <c r="AY143" s="1013"/>
      <c r="AZ143" s="1013"/>
      <c r="BA143" s="1013"/>
      <c r="BB143" s="1013"/>
      <c r="BC143" s="1013"/>
      <c r="BD143" s="1013"/>
      <c r="BE143" s="1013"/>
      <c r="BF143" s="1013"/>
      <c r="BG143" s="1013"/>
      <c r="BH143" s="1013"/>
      <c r="BI143" s="1013"/>
      <c r="BJ143" s="1013"/>
      <c r="BK143" s="1013"/>
      <c r="BL143" s="1013"/>
      <c r="BM143" s="1013"/>
      <c r="BN143" s="1013"/>
      <c r="BO143" s="1013"/>
      <c r="BP143" s="1013"/>
      <c r="BQ143" s="1013"/>
      <c r="BR143" s="1013"/>
      <c r="BS143" s="1013"/>
      <c r="BT143" s="1013"/>
      <c r="BU143" s="1013"/>
      <c r="BV143" s="1013"/>
      <c r="BW143" s="1013"/>
      <c r="BX143" s="1013"/>
      <c r="BY143" s="1013"/>
      <c r="BZ143" s="1013"/>
      <c r="CA143" s="1013"/>
      <c r="CB143" s="1013"/>
      <c r="CC143" s="1013"/>
      <c r="CD143" s="1013"/>
      <c r="CE143" s="1013"/>
      <c r="CF143" s="1013"/>
      <c r="CG143" s="1013"/>
      <c r="CH143" s="1013"/>
      <c r="CI143" s="1013"/>
      <c r="CJ143" s="1013"/>
      <c r="CK143" s="1013"/>
      <c r="CL143" s="1013"/>
      <c r="CM143" s="1013"/>
      <c r="CN143" s="1013"/>
      <c r="CO143" s="1013"/>
      <c r="CP143" s="1013"/>
      <c r="CQ143" s="1013"/>
      <c r="CR143" s="1013"/>
      <c r="CS143" s="1013"/>
      <c r="CT143" s="1013"/>
      <c r="CU143" s="1013"/>
      <c r="CV143" s="1013"/>
      <c r="CW143" s="1013"/>
      <c r="CX143" s="1013"/>
      <c r="CY143" s="1013"/>
      <c r="CZ143" s="1013"/>
      <c r="DA143" s="1013"/>
      <c r="DB143" s="1013"/>
      <c r="DC143" s="1013"/>
      <c r="DD143" s="1013"/>
      <c r="DE143" s="1013"/>
      <c r="DF143" s="1013"/>
      <c r="DG143" s="1013"/>
      <c r="DH143" s="1013"/>
      <c r="DI143" s="1013"/>
      <c r="DJ143" s="1013"/>
      <c r="DK143" s="1013"/>
      <c r="DL143" s="1013"/>
      <c r="DM143" s="1013"/>
      <c r="DN143" s="1013"/>
      <c r="DO143" s="1013"/>
      <c r="DP143" s="1013"/>
      <c r="DQ143" s="1013"/>
      <c r="DR143" s="1013"/>
      <c r="DS143" s="1013"/>
      <c r="DT143" s="1013"/>
      <c r="DU143" s="1013"/>
      <c r="DV143" s="1013"/>
      <c r="DW143" s="1013"/>
      <c r="DX143" s="1013"/>
      <c r="DY143" s="1013"/>
      <c r="DZ143" s="1013"/>
      <c r="EA143" s="1013"/>
      <c r="EB143" s="1013"/>
      <c r="EC143" s="1013"/>
      <c r="ED143" s="1013"/>
      <c r="EE143" s="1013"/>
      <c r="EF143" s="1013"/>
      <c r="EG143" s="1013"/>
      <c r="EH143" s="1013"/>
      <c r="EI143" s="1013"/>
      <c r="EJ143" s="1013"/>
      <c r="EK143" s="1013"/>
      <c r="EL143" s="1013"/>
      <c r="EM143" s="1013"/>
      <c r="EN143" s="1013"/>
      <c r="EO143" s="1013"/>
      <c r="EP143" s="1013"/>
      <c r="EQ143" s="1013"/>
      <c r="ER143" s="1013"/>
      <c r="ES143" s="1013"/>
      <c r="ET143" s="1013"/>
      <c r="EU143" s="1013"/>
      <c r="EV143" s="1013"/>
      <c r="EW143" s="1013"/>
      <c r="EX143" s="1013"/>
      <c r="EY143" s="1013"/>
      <c r="EZ143" s="1013"/>
      <c r="FA143" s="1013"/>
      <c r="FB143" s="1013"/>
      <c r="FC143" s="1013"/>
      <c r="FD143" s="1013"/>
      <c r="FE143" s="1013"/>
      <c r="FF143" s="1013"/>
      <c r="FG143" s="1013"/>
      <c r="FH143" s="1013"/>
      <c r="FI143" s="1013"/>
      <c r="FJ143" s="1013"/>
      <c r="FK143" s="1013"/>
      <c r="FL143" s="1013"/>
      <c r="FM143" s="1013"/>
      <c r="FN143" s="1013"/>
      <c r="FO143" s="1013"/>
      <c r="FP143" s="1013"/>
      <c r="FQ143" s="1013"/>
      <c r="FR143" s="1013"/>
      <c r="FS143" s="1013"/>
      <c r="FT143" s="1013"/>
      <c r="FU143" s="1013"/>
      <c r="FV143" s="1013"/>
      <c r="FW143" s="1013"/>
      <c r="FX143" s="1013"/>
      <c r="FY143" s="1013"/>
      <c r="FZ143" s="1013"/>
      <c r="GA143" s="1013"/>
      <c r="GB143" s="1013"/>
      <c r="GC143" s="1013"/>
      <c r="GD143" s="1013"/>
      <c r="GE143" s="1013"/>
      <c r="GF143" s="1013"/>
      <c r="GG143" s="1013"/>
      <c r="GH143" s="1013"/>
      <c r="GI143" s="1013"/>
      <c r="GJ143" s="1013"/>
      <c r="GK143" s="1013"/>
      <c r="GL143" s="1013"/>
      <c r="GM143" s="1013"/>
      <c r="GN143" s="1013"/>
      <c r="GO143" s="1013"/>
      <c r="GP143" s="1013"/>
      <c r="GQ143" s="1013"/>
      <c r="GR143" s="1013"/>
      <c r="GS143" s="1013"/>
      <c r="GT143" s="1013"/>
      <c r="GU143" s="1013"/>
      <c r="GV143" s="1013"/>
      <c r="GW143" s="1013"/>
      <c r="GX143" s="1013"/>
      <c r="GY143" s="1013"/>
      <c r="GZ143" s="1013"/>
      <c r="HA143" s="1013"/>
    </row>
    <row r="144" spans="1:209" s="1003" customFormat="1" ht="30.75" customHeight="1">
      <c r="A144" s="994">
        <v>1</v>
      </c>
      <c r="B144" s="951" t="s">
        <v>165</v>
      </c>
      <c r="C144" s="996" t="s">
        <v>811</v>
      </c>
      <c r="D144" s="953" t="s">
        <v>153</v>
      </c>
      <c r="E144" s="994">
        <v>1</v>
      </c>
      <c r="F144" s="950" t="s">
        <v>1217</v>
      </c>
      <c r="G144" s="956">
        <v>5.19</v>
      </c>
      <c r="H144" s="957">
        <v>17697</v>
      </c>
      <c r="I144" s="955">
        <v>2</v>
      </c>
      <c r="J144" s="957">
        <f t="shared" ref="J144:J148" si="135">H144*G144*E144*I144</f>
        <v>183694.86000000002</v>
      </c>
      <c r="K144" s="958">
        <f t="shared" ref="K144:K148" si="136">H144*G144*E144*I144</f>
        <v>183694.86000000002</v>
      </c>
      <c r="L144" s="998"/>
      <c r="M144" s="998"/>
      <c r="N144" s="958"/>
      <c r="O144" s="958"/>
      <c r="P144" s="958"/>
      <c r="Q144" s="958"/>
      <c r="R144" s="958"/>
      <c r="S144" s="958"/>
      <c r="T144" s="958"/>
      <c r="U144" s="958"/>
      <c r="V144" s="958"/>
      <c r="W144" s="958"/>
      <c r="X144" s="958"/>
      <c r="Y144" s="958">
        <v>80</v>
      </c>
      <c r="Z144" s="959">
        <f>Y144*350%</f>
        <v>280</v>
      </c>
      <c r="AA144" s="959">
        <f t="shared" ref="AA144:AA148" si="137">K144*Z144%</f>
        <v>514345.60800000001</v>
      </c>
      <c r="AB144" s="959"/>
      <c r="AC144" s="959"/>
      <c r="AD144" s="958">
        <f t="shared" ref="AD144:AD148" si="138">K144*0.1</f>
        <v>18369.486000000001</v>
      </c>
      <c r="AE144" s="958">
        <f t="shared" ref="AE144:AE148" si="139">K144+N144+O144+Q144+S144+U144+W144+X144+AA144+AD144+AC144</f>
        <v>716409.95400000003</v>
      </c>
      <c r="AF144" s="958">
        <f t="shared" ref="AF144:AF148" si="140">AE144*12</f>
        <v>8596919.4480000008</v>
      </c>
      <c r="AG144" s="958">
        <f t="shared" ref="AG144:AG148" si="141">K144</f>
        <v>183694.86000000002</v>
      </c>
      <c r="AH144" s="958">
        <f t="shared" ref="AH144:AH148" si="142">AE144*12+AG144</f>
        <v>8780614.3080000002</v>
      </c>
      <c r="AI144" s="1022"/>
      <c r="AJ144" s="1042"/>
      <c r="AK144" s="1021"/>
      <c r="AL144" s="1021"/>
      <c r="AM144" s="1013"/>
      <c r="AN144" s="1013"/>
      <c r="AO144" s="1013"/>
      <c r="AP144" s="1013"/>
      <c r="AQ144" s="1013"/>
      <c r="AR144" s="1013"/>
      <c r="AS144" s="1013"/>
      <c r="AT144" s="1013"/>
      <c r="AU144" s="1013"/>
      <c r="AV144" s="1013"/>
      <c r="AW144" s="1013"/>
      <c r="AX144" s="1013"/>
      <c r="AY144" s="1013"/>
      <c r="AZ144" s="1013"/>
      <c r="BA144" s="1013"/>
      <c r="BB144" s="1013"/>
      <c r="BC144" s="1013"/>
      <c r="BD144" s="1013"/>
      <c r="BE144" s="1013"/>
      <c r="BF144" s="1013"/>
      <c r="BG144" s="1013"/>
      <c r="BH144" s="1013"/>
      <c r="BI144" s="1013"/>
      <c r="BJ144" s="1013"/>
      <c r="BK144" s="1013"/>
      <c r="BL144" s="1013"/>
      <c r="BM144" s="1013"/>
      <c r="BN144" s="1013"/>
      <c r="BO144" s="1013"/>
      <c r="BP144" s="1013"/>
      <c r="BQ144" s="1013"/>
      <c r="BR144" s="1013"/>
      <c r="BS144" s="1013"/>
      <c r="BT144" s="1013"/>
      <c r="BU144" s="1013"/>
      <c r="BV144" s="1013"/>
      <c r="BW144" s="1013"/>
      <c r="BX144" s="1013"/>
      <c r="BY144" s="1013"/>
      <c r="BZ144" s="1013"/>
      <c r="CA144" s="1013"/>
      <c r="CB144" s="1013"/>
      <c r="CC144" s="1013"/>
      <c r="CD144" s="1013"/>
      <c r="CE144" s="1013"/>
      <c r="CF144" s="1013"/>
      <c r="CG144" s="1013"/>
      <c r="CH144" s="1013"/>
      <c r="CI144" s="1013"/>
      <c r="CJ144" s="1013"/>
      <c r="CK144" s="1013"/>
      <c r="CL144" s="1013"/>
      <c r="CM144" s="1013"/>
      <c r="CN144" s="1013"/>
      <c r="CO144" s="1013"/>
      <c r="CP144" s="1013"/>
      <c r="CQ144" s="1013"/>
      <c r="CR144" s="1013"/>
      <c r="CS144" s="1013"/>
      <c r="CT144" s="1013"/>
      <c r="CU144" s="1013"/>
      <c r="CV144" s="1013"/>
      <c r="CW144" s="1013"/>
      <c r="CX144" s="1013"/>
      <c r="CY144" s="1013"/>
      <c r="CZ144" s="1013"/>
      <c r="DA144" s="1013"/>
      <c r="DB144" s="1013"/>
      <c r="DC144" s="1013"/>
      <c r="DD144" s="1013"/>
      <c r="DE144" s="1013"/>
      <c r="DF144" s="1013"/>
      <c r="DG144" s="1013"/>
      <c r="DH144" s="1013"/>
      <c r="DI144" s="1013"/>
      <c r="DJ144" s="1013"/>
      <c r="DK144" s="1013"/>
      <c r="DL144" s="1013"/>
      <c r="DM144" s="1013"/>
      <c r="DN144" s="1013"/>
      <c r="DO144" s="1013"/>
      <c r="DP144" s="1013"/>
      <c r="DQ144" s="1013"/>
      <c r="DR144" s="1013"/>
      <c r="DS144" s="1013"/>
      <c r="DT144" s="1013"/>
      <c r="DU144" s="1013"/>
      <c r="DV144" s="1013"/>
      <c r="DW144" s="1013"/>
      <c r="DX144" s="1013"/>
      <c r="DY144" s="1013"/>
      <c r="DZ144" s="1013"/>
      <c r="EA144" s="1013"/>
      <c r="EB144" s="1013"/>
      <c r="EC144" s="1013"/>
      <c r="ED144" s="1013"/>
      <c r="EE144" s="1013"/>
      <c r="EF144" s="1013"/>
      <c r="EG144" s="1013"/>
      <c r="EH144" s="1013"/>
      <c r="EI144" s="1013"/>
      <c r="EJ144" s="1013"/>
      <c r="EK144" s="1013"/>
      <c r="EL144" s="1013"/>
      <c r="EM144" s="1013"/>
      <c r="EN144" s="1013"/>
      <c r="EO144" s="1013"/>
      <c r="EP144" s="1013"/>
      <c r="EQ144" s="1013"/>
      <c r="ER144" s="1013"/>
      <c r="ES144" s="1013"/>
      <c r="ET144" s="1013"/>
      <c r="EU144" s="1013"/>
      <c r="EV144" s="1013"/>
      <c r="EW144" s="1013"/>
      <c r="EX144" s="1013"/>
      <c r="EY144" s="1013"/>
      <c r="EZ144" s="1013"/>
      <c r="FA144" s="1013"/>
      <c r="FB144" s="1013"/>
      <c r="FC144" s="1013"/>
      <c r="FD144" s="1013"/>
      <c r="FE144" s="1013"/>
      <c r="FF144" s="1013"/>
      <c r="FG144" s="1013"/>
      <c r="FH144" s="1013"/>
      <c r="FI144" s="1013"/>
      <c r="FJ144" s="1013"/>
      <c r="FK144" s="1013"/>
      <c r="FL144" s="1013"/>
      <c r="FM144" s="1013"/>
      <c r="FN144" s="1013"/>
      <c r="FO144" s="1013"/>
      <c r="FP144" s="1013"/>
      <c r="FQ144" s="1013"/>
      <c r="FR144" s="1013"/>
      <c r="FS144" s="1013"/>
      <c r="FT144" s="1013"/>
      <c r="FU144" s="1013"/>
      <c r="FV144" s="1013"/>
      <c r="FW144" s="1013"/>
      <c r="FX144" s="1013"/>
      <c r="FY144" s="1013"/>
      <c r="FZ144" s="1013"/>
      <c r="GA144" s="1013"/>
      <c r="GB144" s="1013"/>
      <c r="GC144" s="1013"/>
      <c r="GD144" s="1013"/>
      <c r="GE144" s="1013"/>
      <c r="GF144" s="1013"/>
      <c r="GG144" s="1013"/>
      <c r="GH144" s="1013"/>
      <c r="GI144" s="1013"/>
      <c r="GJ144" s="1013"/>
      <c r="GK144" s="1013"/>
      <c r="GL144" s="1013"/>
      <c r="GM144" s="1013"/>
      <c r="GN144" s="1013"/>
      <c r="GO144" s="1013"/>
      <c r="GP144" s="1013"/>
      <c r="GQ144" s="1013"/>
      <c r="GR144" s="1013"/>
      <c r="GS144" s="1013"/>
      <c r="GT144" s="1013"/>
      <c r="GU144" s="1013"/>
      <c r="GV144" s="1013"/>
      <c r="GW144" s="1013"/>
      <c r="GX144" s="1013"/>
      <c r="GY144" s="1013"/>
      <c r="GZ144" s="1013"/>
      <c r="HA144" s="1013"/>
    </row>
    <row r="145" spans="1:209" s="1003" customFormat="1" ht="38.25" customHeight="1">
      <c r="A145" s="994">
        <v>2</v>
      </c>
      <c r="B145" s="951" t="s">
        <v>1218</v>
      </c>
      <c r="C145" s="951" t="s">
        <v>813</v>
      </c>
      <c r="D145" s="953" t="s">
        <v>73</v>
      </c>
      <c r="E145" s="959">
        <v>1</v>
      </c>
      <c r="F145" s="950" t="s">
        <v>817</v>
      </c>
      <c r="G145" s="956">
        <v>4.0999999999999996</v>
      </c>
      <c r="H145" s="957">
        <v>17697</v>
      </c>
      <c r="I145" s="955">
        <v>2</v>
      </c>
      <c r="J145" s="957">
        <f t="shared" si="135"/>
        <v>145115.4</v>
      </c>
      <c r="K145" s="958">
        <f t="shared" si="136"/>
        <v>145115.4</v>
      </c>
      <c r="L145" s="957"/>
      <c r="M145" s="957">
        <f>J145/164*0.5*2.67</f>
        <v>1181.2747499999998</v>
      </c>
      <c r="N145" s="958"/>
      <c r="O145" s="958"/>
      <c r="P145" s="958"/>
      <c r="Q145" s="958"/>
      <c r="R145" s="958"/>
      <c r="S145" s="958"/>
      <c r="T145" s="958"/>
      <c r="U145" s="958"/>
      <c r="V145" s="958"/>
      <c r="W145" s="958"/>
      <c r="X145" s="958"/>
      <c r="Y145" s="958">
        <v>30</v>
      </c>
      <c r="Z145" s="959">
        <f t="shared" ref="Z145:Z148" si="143">Y145*350%</f>
        <v>105</v>
      </c>
      <c r="AA145" s="959">
        <f t="shared" si="137"/>
        <v>152371.17000000001</v>
      </c>
      <c r="AB145" s="959"/>
      <c r="AC145" s="959"/>
      <c r="AD145" s="958">
        <f t="shared" si="138"/>
        <v>14511.54</v>
      </c>
      <c r="AE145" s="958">
        <f t="shared" si="139"/>
        <v>311998.11</v>
      </c>
      <c r="AF145" s="958">
        <f t="shared" si="140"/>
        <v>3743977.32</v>
      </c>
      <c r="AG145" s="958">
        <f t="shared" si="141"/>
        <v>145115.4</v>
      </c>
      <c r="AH145" s="958">
        <f t="shared" si="142"/>
        <v>3889092.7199999997</v>
      </c>
      <c r="AI145" s="1022"/>
      <c r="AJ145" s="1042"/>
      <c r="AK145" s="1021"/>
      <c r="AL145" s="1021"/>
      <c r="AM145" s="1013"/>
      <c r="AN145" s="1013"/>
      <c r="AO145" s="1013"/>
      <c r="AP145" s="1013"/>
      <c r="AQ145" s="1013"/>
      <c r="AR145" s="1013"/>
      <c r="AS145" s="1013"/>
      <c r="AT145" s="1013"/>
      <c r="AU145" s="1013"/>
      <c r="AV145" s="1013"/>
      <c r="AW145" s="1013"/>
      <c r="AX145" s="1013"/>
      <c r="AY145" s="1013"/>
      <c r="AZ145" s="1013"/>
      <c r="BA145" s="1013"/>
      <c r="BB145" s="1013"/>
      <c r="BC145" s="1013"/>
      <c r="BD145" s="1013"/>
      <c r="BE145" s="1013"/>
      <c r="BF145" s="1013"/>
      <c r="BG145" s="1013"/>
      <c r="BH145" s="1013"/>
      <c r="BI145" s="1013"/>
      <c r="BJ145" s="1013"/>
      <c r="BK145" s="1013"/>
      <c r="BL145" s="1013"/>
      <c r="BM145" s="1013"/>
      <c r="BN145" s="1013"/>
      <c r="BO145" s="1013"/>
      <c r="BP145" s="1013"/>
      <c r="BQ145" s="1013"/>
      <c r="BR145" s="1013"/>
      <c r="BS145" s="1013"/>
      <c r="BT145" s="1013"/>
      <c r="BU145" s="1013"/>
      <c r="BV145" s="1013"/>
      <c r="BW145" s="1013"/>
      <c r="BX145" s="1013"/>
      <c r="BY145" s="1013"/>
      <c r="BZ145" s="1013"/>
      <c r="CA145" s="1013"/>
      <c r="CB145" s="1013"/>
      <c r="CC145" s="1013"/>
      <c r="CD145" s="1013"/>
      <c r="CE145" s="1013"/>
      <c r="CF145" s="1013"/>
      <c r="CG145" s="1013"/>
      <c r="CH145" s="1013"/>
      <c r="CI145" s="1013"/>
      <c r="CJ145" s="1013"/>
      <c r="CK145" s="1013"/>
      <c r="CL145" s="1013"/>
      <c r="CM145" s="1013"/>
      <c r="CN145" s="1013"/>
      <c r="CO145" s="1013"/>
      <c r="CP145" s="1013"/>
      <c r="CQ145" s="1013"/>
      <c r="CR145" s="1013"/>
      <c r="CS145" s="1013"/>
      <c r="CT145" s="1013"/>
      <c r="CU145" s="1013"/>
      <c r="CV145" s="1013"/>
      <c r="CW145" s="1013"/>
      <c r="CX145" s="1013"/>
      <c r="CY145" s="1013"/>
      <c r="CZ145" s="1013"/>
      <c r="DA145" s="1013"/>
      <c r="DB145" s="1013"/>
      <c r="DC145" s="1013"/>
      <c r="DD145" s="1013"/>
      <c r="DE145" s="1013"/>
      <c r="DF145" s="1013"/>
      <c r="DG145" s="1013"/>
      <c r="DH145" s="1013"/>
      <c r="DI145" s="1013"/>
      <c r="DJ145" s="1013"/>
      <c r="DK145" s="1013"/>
      <c r="DL145" s="1013"/>
      <c r="DM145" s="1013"/>
      <c r="DN145" s="1013"/>
      <c r="DO145" s="1013"/>
      <c r="DP145" s="1013"/>
      <c r="DQ145" s="1013"/>
      <c r="DR145" s="1013"/>
      <c r="DS145" s="1013"/>
      <c r="DT145" s="1013"/>
      <c r="DU145" s="1013"/>
      <c r="DV145" s="1013"/>
      <c r="DW145" s="1013"/>
      <c r="DX145" s="1013"/>
      <c r="DY145" s="1013"/>
      <c r="DZ145" s="1013"/>
      <c r="EA145" s="1013"/>
      <c r="EB145" s="1013"/>
      <c r="EC145" s="1013"/>
      <c r="ED145" s="1013"/>
      <c r="EE145" s="1013"/>
      <c r="EF145" s="1013"/>
      <c r="EG145" s="1013"/>
      <c r="EH145" s="1013"/>
      <c r="EI145" s="1013"/>
      <c r="EJ145" s="1013"/>
      <c r="EK145" s="1013"/>
      <c r="EL145" s="1013"/>
      <c r="EM145" s="1013"/>
      <c r="EN145" s="1013"/>
      <c r="EO145" s="1013"/>
      <c r="EP145" s="1013"/>
      <c r="EQ145" s="1013"/>
      <c r="ER145" s="1013"/>
      <c r="ES145" s="1013"/>
      <c r="ET145" s="1013"/>
      <c r="EU145" s="1013"/>
      <c r="EV145" s="1013"/>
      <c r="EW145" s="1013"/>
      <c r="EX145" s="1013"/>
      <c r="EY145" s="1013"/>
      <c r="EZ145" s="1013"/>
      <c r="FA145" s="1013"/>
      <c r="FB145" s="1013"/>
      <c r="FC145" s="1013"/>
      <c r="FD145" s="1013"/>
      <c r="FE145" s="1013"/>
      <c r="FF145" s="1013"/>
      <c r="FG145" s="1013"/>
      <c r="FH145" s="1013"/>
      <c r="FI145" s="1013"/>
      <c r="FJ145" s="1013"/>
      <c r="FK145" s="1013"/>
      <c r="FL145" s="1013"/>
      <c r="FM145" s="1013"/>
      <c r="FN145" s="1013"/>
      <c r="FO145" s="1013"/>
      <c r="FP145" s="1013"/>
      <c r="FQ145" s="1013"/>
      <c r="FR145" s="1013"/>
      <c r="FS145" s="1013"/>
      <c r="FT145" s="1013"/>
      <c r="FU145" s="1013"/>
      <c r="FV145" s="1013"/>
      <c r="FW145" s="1013"/>
      <c r="FX145" s="1013"/>
      <c r="FY145" s="1013"/>
      <c r="FZ145" s="1013"/>
      <c r="GA145" s="1013"/>
      <c r="GB145" s="1013"/>
      <c r="GC145" s="1013"/>
      <c r="GD145" s="1013"/>
      <c r="GE145" s="1013"/>
      <c r="GF145" s="1013"/>
      <c r="GG145" s="1013"/>
      <c r="GH145" s="1013"/>
      <c r="GI145" s="1013"/>
      <c r="GJ145" s="1013"/>
      <c r="GK145" s="1013"/>
      <c r="GL145" s="1013"/>
      <c r="GM145" s="1013"/>
      <c r="GN145" s="1013"/>
      <c r="GO145" s="1013"/>
      <c r="GP145" s="1013"/>
      <c r="GQ145" s="1013"/>
      <c r="GR145" s="1013"/>
      <c r="GS145" s="1013"/>
      <c r="GT145" s="1013"/>
      <c r="GU145" s="1013"/>
      <c r="GV145" s="1013"/>
      <c r="GW145" s="1013"/>
      <c r="GX145" s="1013"/>
      <c r="GY145" s="1013"/>
      <c r="GZ145" s="1013"/>
      <c r="HA145" s="1013"/>
    </row>
    <row r="146" spans="1:209" s="1003" customFormat="1" ht="38.25" customHeight="1">
      <c r="A146" s="994">
        <v>3</v>
      </c>
      <c r="B146" s="951" t="s">
        <v>812</v>
      </c>
      <c r="C146" s="951" t="s">
        <v>813</v>
      </c>
      <c r="D146" s="953" t="s">
        <v>73</v>
      </c>
      <c r="E146" s="1000">
        <v>2</v>
      </c>
      <c r="F146" s="950" t="s">
        <v>162</v>
      </c>
      <c r="G146" s="956">
        <v>4.2300000000000004</v>
      </c>
      <c r="H146" s="957">
        <v>17697</v>
      </c>
      <c r="I146" s="955">
        <v>2</v>
      </c>
      <c r="J146" s="957">
        <f t="shared" si="135"/>
        <v>299433.24000000005</v>
      </c>
      <c r="K146" s="958">
        <f t="shared" si="136"/>
        <v>299433.24000000005</v>
      </c>
      <c r="L146" s="957"/>
      <c r="M146" s="957">
        <f>J146/164*0.5*2.67</f>
        <v>2437.4596060975614</v>
      </c>
      <c r="N146" s="958"/>
      <c r="O146" s="958"/>
      <c r="P146" s="958"/>
      <c r="Q146" s="958"/>
      <c r="R146" s="958"/>
      <c r="S146" s="958"/>
      <c r="T146" s="958"/>
      <c r="U146" s="958"/>
      <c r="V146" s="958"/>
      <c r="W146" s="958"/>
      <c r="X146" s="958"/>
      <c r="Y146" s="958">
        <v>30</v>
      </c>
      <c r="Z146" s="959">
        <f t="shared" si="143"/>
        <v>105</v>
      </c>
      <c r="AA146" s="959">
        <f t="shared" si="137"/>
        <v>314404.90200000006</v>
      </c>
      <c r="AB146" s="959"/>
      <c r="AC146" s="959"/>
      <c r="AD146" s="958">
        <f t="shared" si="138"/>
        <v>29943.324000000008</v>
      </c>
      <c r="AE146" s="958">
        <f t="shared" si="139"/>
        <v>643781.46600000013</v>
      </c>
      <c r="AF146" s="958">
        <f t="shared" si="140"/>
        <v>7725377.592000002</v>
      </c>
      <c r="AG146" s="958">
        <f t="shared" si="141"/>
        <v>299433.24000000005</v>
      </c>
      <c r="AH146" s="958">
        <f t="shared" si="142"/>
        <v>8024810.8320000023</v>
      </c>
      <c r="AI146" s="1022"/>
      <c r="AJ146" s="1042"/>
      <c r="AK146" s="1021"/>
      <c r="AL146" s="1021"/>
      <c r="AM146" s="1013"/>
      <c r="AN146" s="1013"/>
      <c r="AO146" s="1013"/>
      <c r="AP146" s="1013"/>
      <c r="AQ146" s="1013"/>
      <c r="AR146" s="1013"/>
      <c r="AS146" s="1013"/>
      <c r="AT146" s="1013"/>
      <c r="AU146" s="1013"/>
      <c r="AV146" s="1013"/>
      <c r="AW146" s="1013"/>
      <c r="AX146" s="1013"/>
      <c r="AY146" s="1013"/>
      <c r="AZ146" s="1013"/>
      <c r="BA146" s="1013"/>
      <c r="BB146" s="1013"/>
      <c r="BC146" s="1013"/>
      <c r="BD146" s="1013"/>
      <c r="BE146" s="1013"/>
      <c r="BF146" s="1013"/>
      <c r="BG146" s="1013"/>
      <c r="BH146" s="1013"/>
      <c r="BI146" s="1013"/>
      <c r="BJ146" s="1013"/>
      <c r="BK146" s="1013"/>
      <c r="BL146" s="1013"/>
      <c r="BM146" s="1013"/>
      <c r="BN146" s="1013"/>
      <c r="BO146" s="1013"/>
      <c r="BP146" s="1013"/>
      <c r="BQ146" s="1013"/>
      <c r="BR146" s="1013"/>
      <c r="BS146" s="1013"/>
      <c r="BT146" s="1013"/>
      <c r="BU146" s="1013"/>
      <c r="BV146" s="1013"/>
      <c r="BW146" s="1013"/>
      <c r="BX146" s="1013"/>
      <c r="BY146" s="1013"/>
      <c r="BZ146" s="1013"/>
      <c r="CA146" s="1013"/>
      <c r="CB146" s="1013"/>
      <c r="CC146" s="1013"/>
      <c r="CD146" s="1013"/>
      <c r="CE146" s="1013"/>
      <c r="CF146" s="1013"/>
      <c r="CG146" s="1013"/>
      <c r="CH146" s="1013"/>
      <c r="CI146" s="1013"/>
      <c r="CJ146" s="1013"/>
      <c r="CK146" s="1013"/>
      <c r="CL146" s="1013"/>
      <c r="CM146" s="1013"/>
      <c r="CN146" s="1013"/>
      <c r="CO146" s="1013"/>
      <c r="CP146" s="1013"/>
      <c r="CQ146" s="1013"/>
      <c r="CR146" s="1013"/>
      <c r="CS146" s="1013"/>
      <c r="CT146" s="1013"/>
      <c r="CU146" s="1013"/>
      <c r="CV146" s="1013"/>
      <c r="CW146" s="1013"/>
      <c r="CX146" s="1013"/>
      <c r="CY146" s="1013"/>
      <c r="CZ146" s="1013"/>
      <c r="DA146" s="1013"/>
      <c r="DB146" s="1013"/>
      <c r="DC146" s="1013"/>
      <c r="DD146" s="1013"/>
      <c r="DE146" s="1013"/>
      <c r="DF146" s="1013"/>
      <c r="DG146" s="1013"/>
      <c r="DH146" s="1013"/>
      <c r="DI146" s="1013"/>
      <c r="DJ146" s="1013"/>
      <c r="DK146" s="1013"/>
      <c r="DL146" s="1013"/>
      <c r="DM146" s="1013"/>
      <c r="DN146" s="1013"/>
      <c r="DO146" s="1013"/>
      <c r="DP146" s="1013"/>
      <c r="DQ146" s="1013"/>
      <c r="DR146" s="1013"/>
      <c r="DS146" s="1013"/>
      <c r="DT146" s="1013"/>
      <c r="DU146" s="1013"/>
      <c r="DV146" s="1013"/>
      <c r="DW146" s="1013"/>
      <c r="DX146" s="1013"/>
      <c r="DY146" s="1013"/>
      <c r="DZ146" s="1013"/>
      <c r="EA146" s="1013"/>
      <c r="EB146" s="1013"/>
      <c r="EC146" s="1013"/>
      <c r="ED146" s="1013"/>
      <c r="EE146" s="1013"/>
      <c r="EF146" s="1013"/>
      <c r="EG146" s="1013"/>
      <c r="EH146" s="1013"/>
      <c r="EI146" s="1013"/>
      <c r="EJ146" s="1013"/>
      <c r="EK146" s="1013"/>
      <c r="EL146" s="1013"/>
      <c r="EM146" s="1013"/>
      <c r="EN146" s="1013"/>
      <c r="EO146" s="1013"/>
      <c r="EP146" s="1013"/>
      <c r="EQ146" s="1013"/>
      <c r="ER146" s="1013"/>
      <c r="ES146" s="1013"/>
      <c r="ET146" s="1013"/>
      <c r="EU146" s="1013"/>
      <c r="EV146" s="1013"/>
      <c r="EW146" s="1013"/>
      <c r="EX146" s="1013"/>
      <c r="EY146" s="1013"/>
      <c r="EZ146" s="1013"/>
      <c r="FA146" s="1013"/>
      <c r="FB146" s="1013"/>
      <c r="FC146" s="1013"/>
      <c r="FD146" s="1013"/>
      <c r="FE146" s="1013"/>
      <c r="FF146" s="1013"/>
      <c r="FG146" s="1013"/>
      <c r="FH146" s="1013"/>
      <c r="FI146" s="1013"/>
      <c r="FJ146" s="1013"/>
      <c r="FK146" s="1013"/>
      <c r="FL146" s="1013"/>
      <c r="FM146" s="1013"/>
      <c r="FN146" s="1013"/>
      <c r="FO146" s="1013"/>
      <c r="FP146" s="1013"/>
      <c r="FQ146" s="1013"/>
      <c r="FR146" s="1013"/>
      <c r="FS146" s="1013"/>
      <c r="FT146" s="1013"/>
      <c r="FU146" s="1013"/>
      <c r="FV146" s="1013"/>
      <c r="FW146" s="1013"/>
      <c r="FX146" s="1013"/>
      <c r="FY146" s="1013"/>
      <c r="FZ146" s="1013"/>
      <c r="GA146" s="1013"/>
      <c r="GB146" s="1013"/>
      <c r="GC146" s="1013"/>
      <c r="GD146" s="1013"/>
      <c r="GE146" s="1013"/>
      <c r="GF146" s="1013"/>
      <c r="GG146" s="1013"/>
      <c r="GH146" s="1013"/>
      <c r="GI146" s="1013"/>
      <c r="GJ146" s="1013"/>
      <c r="GK146" s="1013"/>
      <c r="GL146" s="1013"/>
      <c r="GM146" s="1013"/>
      <c r="GN146" s="1013"/>
      <c r="GO146" s="1013"/>
      <c r="GP146" s="1013"/>
      <c r="GQ146" s="1013"/>
      <c r="GR146" s="1013"/>
      <c r="GS146" s="1013"/>
      <c r="GT146" s="1013"/>
      <c r="GU146" s="1013"/>
      <c r="GV146" s="1013"/>
      <c r="GW146" s="1013"/>
      <c r="GX146" s="1013"/>
      <c r="GY146" s="1013"/>
      <c r="GZ146" s="1013"/>
      <c r="HA146" s="1013"/>
    </row>
    <row r="147" spans="1:209" s="1003" customFormat="1" ht="38.25" customHeight="1">
      <c r="A147" s="994">
        <v>4</v>
      </c>
      <c r="B147" s="951" t="s">
        <v>812</v>
      </c>
      <c r="C147" s="951" t="s">
        <v>814</v>
      </c>
      <c r="D147" s="953" t="s">
        <v>73</v>
      </c>
      <c r="E147" s="1000">
        <v>1</v>
      </c>
      <c r="F147" s="950" t="s">
        <v>817</v>
      </c>
      <c r="G147" s="956">
        <v>4.0999999999999996</v>
      </c>
      <c r="H147" s="957">
        <v>17697</v>
      </c>
      <c r="I147" s="955">
        <v>2</v>
      </c>
      <c r="J147" s="957">
        <f t="shared" si="135"/>
        <v>145115.4</v>
      </c>
      <c r="K147" s="958">
        <f t="shared" si="136"/>
        <v>145115.4</v>
      </c>
      <c r="L147" s="957"/>
      <c r="M147" s="957">
        <f>J147/164*0.5*2.67</f>
        <v>1181.2747499999998</v>
      </c>
      <c r="N147" s="958"/>
      <c r="O147" s="958"/>
      <c r="P147" s="958"/>
      <c r="Q147" s="958"/>
      <c r="R147" s="958"/>
      <c r="S147" s="958"/>
      <c r="T147" s="958"/>
      <c r="U147" s="958"/>
      <c r="V147" s="958"/>
      <c r="W147" s="958"/>
      <c r="X147" s="958"/>
      <c r="Y147" s="958">
        <v>30</v>
      </c>
      <c r="Z147" s="959">
        <f t="shared" si="143"/>
        <v>105</v>
      </c>
      <c r="AA147" s="959">
        <f t="shared" si="137"/>
        <v>152371.17000000001</v>
      </c>
      <c r="AB147" s="959"/>
      <c r="AC147" s="959"/>
      <c r="AD147" s="958">
        <f t="shared" si="138"/>
        <v>14511.54</v>
      </c>
      <c r="AE147" s="958">
        <f t="shared" si="139"/>
        <v>311998.11</v>
      </c>
      <c r="AF147" s="958">
        <f t="shared" si="140"/>
        <v>3743977.32</v>
      </c>
      <c r="AG147" s="958">
        <f t="shared" si="141"/>
        <v>145115.4</v>
      </c>
      <c r="AH147" s="958">
        <f t="shared" si="142"/>
        <v>3889092.7199999997</v>
      </c>
      <c r="AI147" s="1022"/>
      <c r="AJ147" s="1042"/>
      <c r="AK147" s="1021"/>
      <c r="AL147" s="1021"/>
      <c r="AM147" s="1013"/>
      <c r="AN147" s="1013"/>
      <c r="AO147" s="1013"/>
      <c r="AP147" s="1013"/>
      <c r="AQ147" s="1013"/>
      <c r="AR147" s="1013"/>
      <c r="AS147" s="1013"/>
      <c r="AT147" s="1013"/>
      <c r="AU147" s="1013"/>
      <c r="AV147" s="1013"/>
      <c r="AW147" s="1013"/>
      <c r="AX147" s="1013"/>
      <c r="AY147" s="1013"/>
      <c r="AZ147" s="1013"/>
      <c r="BA147" s="1013"/>
      <c r="BB147" s="1013"/>
      <c r="BC147" s="1013"/>
      <c r="BD147" s="1013"/>
      <c r="BE147" s="1013"/>
      <c r="BF147" s="1013"/>
      <c r="BG147" s="1013"/>
      <c r="BH147" s="1013"/>
      <c r="BI147" s="1013"/>
      <c r="BJ147" s="1013"/>
      <c r="BK147" s="1013"/>
      <c r="BL147" s="1013"/>
      <c r="BM147" s="1013"/>
      <c r="BN147" s="1013"/>
      <c r="BO147" s="1013"/>
      <c r="BP147" s="1013"/>
      <c r="BQ147" s="1013"/>
      <c r="BR147" s="1013"/>
      <c r="BS147" s="1013"/>
      <c r="BT147" s="1013"/>
      <c r="BU147" s="1013"/>
      <c r="BV147" s="1013"/>
      <c r="BW147" s="1013"/>
      <c r="BX147" s="1013"/>
      <c r="BY147" s="1013"/>
      <c r="BZ147" s="1013"/>
      <c r="CA147" s="1013"/>
      <c r="CB147" s="1013"/>
      <c r="CC147" s="1013"/>
      <c r="CD147" s="1013"/>
      <c r="CE147" s="1013"/>
      <c r="CF147" s="1013"/>
      <c r="CG147" s="1013"/>
      <c r="CH147" s="1013"/>
      <c r="CI147" s="1013"/>
      <c r="CJ147" s="1013"/>
      <c r="CK147" s="1013"/>
      <c r="CL147" s="1013"/>
      <c r="CM147" s="1013"/>
      <c r="CN147" s="1013"/>
      <c r="CO147" s="1013"/>
      <c r="CP147" s="1013"/>
      <c r="CQ147" s="1013"/>
      <c r="CR147" s="1013"/>
      <c r="CS147" s="1013"/>
      <c r="CT147" s="1013"/>
      <c r="CU147" s="1013"/>
      <c r="CV147" s="1013"/>
      <c r="CW147" s="1013"/>
      <c r="CX147" s="1013"/>
      <c r="CY147" s="1013"/>
      <c r="CZ147" s="1013"/>
      <c r="DA147" s="1013"/>
      <c r="DB147" s="1013"/>
      <c r="DC147" s="1013"/>
      <c r="DD147" s="1013"/>
      <c r="DE147" s="1013"/>
      <c r="DF147" s="1013"/>
      <c r="DG147" s="1013"/>
      <c r="DH147" s="1013"/>
      <c r="DI147" s="1013"/>
      <c r="DJ147" s="1013"/>
      <c r="DK147" s="1013"/>
      <c r="DL147" s="1013"/>
      <c r="DM147" s="1013"/>
      <c r="DN147" s="1013"/>
      <c r="DO147" s="1013"/>
      <c r="DP147" s="1013"/>
      <c r="DQ147" s="1013"/>
      <c r="DR147" s="1013"/>
      <c r="DS147" s="1013"/>
      <c r="DT147" s="1013"/>
      <c r="DU147" s="1013"/>
      <c r="DV147" s="1013"/>
      <c r="DW147" s="1013"/>
      <c r="DX147" s="1013"/>
      <c r="DY147" s="1013"/>
      <c r="DZ147" s="1013"/>
      <c r="EA147" s="1013"/>
      <c r="EB147" s="1013"/>
      <c r="EC147" s="1013"/>
      <c r="ED147" s="1013"/>
      <c r="EE147" s="1013"/>
      <c r="EF147" s="1013"/>
      <c r="EG147" s="1013"/>
      <c r="EH147" s="1013"/>
      <c r="EI147" s="1013"/>
      <c r="EJ147" s="1013"/>
      <c r="EK147" s="1013"/>
      <c r="EL147" s="1013"/>
      <c r="EM147" s="1013"/>
      <c r="EN147" s="1013"/>
      <c r="EO147" s="1013"/>
      <c r="EP147" s="1013"/>
      <c r="EQ147" s="1013"/>
      <c r="ER147" s="1013"/>
      <c r="ES147" s="1013"/>
      <c r="ET147" s="1013"/>
      <c r="EU147" s="1013"/>
      <c r="EV147" s="1013"/>
      <c r="EW147" s="1013"/>
      <c r="EX147" s="1013"/>
      <c r="EY147" s="1013"/>
      <c r="EZ147" s="1013"/>
      <c r="FA147" s="1013"/>
      <c r="FB147" s="1013"/>
      <c r="FC147" s="1013"/>
      <c r="FD147" s="1013"/>
      <c r="FE147" s="1013"/>
      <c r="FF147" s="1013"/>
      <c r="FG147" s="1013"/>
      <c r="FH147" s="1013"/>
      <c r="FI147" s="1013"/>
      <c r="FJ147" s="1013"/>
      <c r="FK147" s="1013"/>
      <c r="FL147" s="1013"/>
      <c r="FM147" s="1013"/>
      <c r="FN147" s="1013"/>
      <c r="FO147" s="1013"/>
      <c r="FP147" s="1013"/>
      <c r="FQ147" s="1013"/>
      <c r="FR147" s="1013"/>
      <c r="FS147" s="1013"/>
      <c r="FT147" s="1013"/>
      <c r="FU147" s="1013"/>
      <c r="FV147" s="1013"/>
      <c r="FW147" s="1013"/>
      <c r="FX147" s="1013"/>
      <c r="FY147" s="1013"/>
      <c r="FZ147" s="1013"/>
      <c r="GA147" s="1013"/>
      <c r="GB147" s="1013"/>
      <c r="GC147" s="1013"/>
      <c r="GD147" s="1013"/>
      <c r="GE147" s="1013"/>
      <c r="GF147" s="1013"/>
      <c r="GG147" s="1013"/>
      <c r="GH147" s="1013"/>
      <c r="GI147" s="1013"/>
      <c r="GJ147" s="1013"/>
      <c r="GK147" s="1013"/>
      <c r="GL147" s="1013"/>
      <c r="GM147" s="1013"/>
      <c r="GN147" s="1013"/>
      <c r="GO147" s="1013"/>
      <c r="GP147" s="1013"/>
      <c r="GQ147" s="1013"/>
      <c r="GR147" s="1013"/>
      <c r="GS147" s="1013"/>
      <c r="GT147" s="1013"/>
      <c r="GU147" s="1013"/>
      <c r="GV147" s="1013"/>
      <c r="GW147" s="1013"/>
      <c r="GX147" s="1013"/>
      <c r="GY147" s="1013"/>
      <c r="GZ147" s="1013"/>
      <c r="HA147" s="1013"/>
    </row>
    <row r="148" spans="1:209" s="1003" customFormat="1" ht="30.75" customHeight="1">
      <c r="A148" s="994">
        <v>5</v>
      </c>
      <c r="B148" s="951" t="s">
        <v>815</v>
      </c>
      <c r="C148" s="1003" t="s">
        <v>816</v>
      </c>
      <c r="D148" s="953" t="s">
        <v>73</v>
      </c>
      <c r="E148" s="1000">
        <v>3</v>
      </c>
      <c r="F148" s="950" t="s">
        <v>582</v>
      </c>
      <c r="G148" s="956">
        <v>4.1399999999999997</v>
      </c>
      <c r="H148" s="957">
        <v>17697</v>
      </c>
      <c r="I148" s="955">
        <v>2</v>
      </c>
      <c r="J148" s="957">
        <f t="shared" si="135"/>
        <v>439593.47999999992</v>
      </c>
      <c r="K148" s="958">
        <f t="shared" si="136"/>
        <v>439593.47999999992</v>
      </c>
      <c r="L148" s="957"/>
      <c r="M148" s="957">
        <f>J148/164*0.5*2.67</f>
        <v>3578.3981451219502</v>
      </c>
      <c r="N148" s="958"/>
      <c r="O148" s="958"/>
      <c r="P148" s="958"/>
      <c r="Q148" s="958"/>
      <c r="R148" s="958"/>
      <c r="S148" s="958"/>
      <c r="T148" s="958"/>
      <c r="U148" s="958"/>
      <c r="V148" s="958"/>
      <c r="W148" s="958"/>
      <c r="X148" s="958"/>
      <c r="Y148" s="958">
        <v>30</v>
      </c>
      <c r="Z148" s="959">
        <f t="shared" si="143"/>
        <v>105</v>
      </c>
      <c r="AA148" s="959">
        <f t="shared" si="137"/>
        <v>461573.15399999992</v>
      </c>
      <c r="AB148" s="959"/>
      <c r="AC148" s="959"/>
      <c r="AD148" s="958">
        <f t="shared" si="138"/>
        <v>43959.347999999998</v>
      </c>
      <c r="AE148" s="958">
        <f t="shared" si="139"/>
        <v>945125.98199999984</v>
      </c>
      <c r="AF148" s="958">
        <f t="shared" si="140"/>
        <v>11341511.783999998</v>
      </c>
      <c r="AG148" s="958">
        <f t="shared" si="141"/>
        <v>439593.47999999992</v>
      </c>
      <c r="AH148" s="958">
        <f t="shared" si="142"/>
        <v>11781105.263999999</v>
      </c>
      <c r="AI148" s="1022"/>
      <c r="AJ148" s="1042"/>
      <c r="AK148" s="1021"/>
      <c r="AL148" s="1021"/>
      <c r="AM148" s="1013"/>
      <c r="AN148" s="1013"/>
      <c r="AO148" s="1013"/>
      <c r="AP148" s="1013"/>
      <c r="AQ148" s="1013"/>
      <c r="AR148" s="1013"/>
      <c r="AS148" s="1013"/>
      <c r="AT148" s="1013"/>
      <c r="AU148" s="1013"/>
      <c r="AV148" s="1013"/>
      <c r="AW148" s="1013"/>
      <c r="AX148" s="1013"/>
      <c r="AY148" s="1013"/>
      <c r="AZ148" s="1013"/>
      <c r="BA148" s="1013"/>
      <c r="BB148" s="1013"/>
      <c r="BC148" s="1013"/>
      <c r="BD148" s="1013"/>
      <c r="BE148" s="1013"/>
      <c r="BF148" s="1013"/>
      <c r="BG148" s="1013"/>
      <c r="BH148" s="1013"/>
      <c r="BI148" s="1013"/>
      <c r="BJ148" s="1013"/>
      <c r="BK148" s="1013"/>
      <c r="BL148" s="1013"/>
      <c r="BM148" s="1013"/>
      <c r="BN148" s="1013"/>
      <c r="BO148" s="1013"/>
      <c r="BP148" s="1013"/>
      <c r="BQ148" s="1013"/>
      <c r="BR148" s="1013"/>
      <c r="BS148" s="1013"/>
      <c r="BT148" s="1013"/>
      <c r="BU148" s="1013"/>
      <c r="BV148" s="1013"/>
      <c r="BW148" s="1013"/>
      <c r="BX148" s="1013"/>
      <c r="BY148" s="1013"/>
      <c r="BZ148" s="1013"/>
      <c r="CA148" s="1013"/>
      <c r="CB148" s="1013"/>
      <c r="CC148" s="1013"/>
      <c r="CD148" s="1013"/>
      <c r="CE148" s="1013"/>
      <c r="CF148" s="1013"/>
      <c r="CG148" s="1013"/>
      <c r="CH148" s="1013"/>
      <c r="CI148" s="1013"/>
      <c r="CJ148" s="1013"/>
      <c r="CK148" s="1013"/>
      <c r="CL148" s="1013"/>
      <c r="CM148" s="1013"/>
      <c r="CN148" s="1013"/>
      <c r="CO148" s="1013"/>
      <c r="CP148" s="1013"/>
      <c r="CQ148" s="1013"/>
      <c r="CR148" s="1013"/>
      <c r="CS148" s="1013"/>
      <c r="CT148" s="1013"/>
      <c r="CU148" s="1013"/>
      <c r="CV148" s="1013"/>
      <c r="CW148" s="1013"/>
      <c r="CX148" s="1013"/>
      <c r="CY148" s="1013"/>
      <c r="CZ148" s="1013"/>
      <c r="DA148" s="1013"/>
      <c r="DB148" s="1013"/>
      <c r="DC148" s="1013"/>
      <c r="DD148" s="1013"/>
      <c r="DE148" s="1013"/>
      <c r="DF148" s="1013"/>
      <c r="DG148" s="1013"/>
      <c r="DH148" s="1013"/>
      <c r="DI148" s="1013"/>
      <c r="DJ148" s="1013"/>
      <c r="DK148" s="1013"/>
      <c r="DL148" s="1013"/>
      <c r="DM148" s="1013"/>
      <c r="DN148" s="1013"/>
      <c r="DO148" s="1013"/>
      <c r="DP148" s="1013"/>
      <c r="DQ148" s="1013"/>
      <c r="DR148" s="1013"/>
      <c r="DS148" s="1013"/>
      <c r="DT148" s="1013"/>
      <c r="DU148" s="1013"/>
      <c r="DV148" s="1013"/>
      <c r="DW148" s="1013"/>
      <c r="DX148" s="1013"/>
      <c r="DY148" s="1013"/>
      <c r="DZ148" s="1013"/>
      <c r="EA148" s="1013"/>
      <c r="EB148" s="1013"/>
      <c r="EC148" s="1013"/>
      <c r="ED148" s="1013"/>
      <c r="EE148" s="1013"/>
      <c r="EF148" s="1013"/>
      <c r="EG148" s="1013"/>
      <c r="EH148" s="1013"/>
      <c r="EI148" s="1013"/>
      <c r="EJ148" s="1013"/>
      <c r="EK148" s="1013"/>
      <c r="EL148" s="1013"/>
      <c r="EM148" s="1013"/>
      <c r="EN148" s="1013"/>
      <c r="EO148" s="1013"/>
      <c r="EP148" s="1013"/>
      <c r="EQ148" s="1013"/>
      <c r="ER148" s="1013"/>
      <c r="ES148" s="1013"/>
      <c r="ET148" s="1013"/>
      <c r="EU148" s="1013"/>
      <c r="EV148" s="1013"/>
      <c r="EW148" s="1013"/>
      <c r="EX148" s="1013"/>
      <c r="EY148" s="1013"/>
      <c r="EZ148" s="1013"/>
      <c r="FA148" s="1013"/>
      <c r="FB148" s="1013"/>
      <c r="FC148" s="1013"/>
      <c r="FD148" s="1013"/>
      <c r="FE148" s="1013"/>
      <c r="FF148" s="1013"/>
      <c r="FG148" s="1013"/>
      <c r="FH148" s="1013"/>
      <c r="FI148" s="1013"/>
      <c r="FJ148" s="1013"/>
      <c r="FK148" s="1013"/>
      <c r="FL148" s="1013"/>
      <c r="FM148" s="1013"/>
      <c r="FN148" s="1013"/>
      <c r="FO148" s="1013"/>
      <c r="FP148" s="1013"/>
      <c r="FQ148" s="1013"/>
      <c r="FR148" s="1013"/>
      <c r="FS148" s="1013"/>
      <c r="FT148" s="1013"/>
      <c r="FU148" s="1013"/>
      <c r="FV148" s="1013"/>
      <c r="FW148" s="1013"/>
      <c r="FX148" s="1013"/>
      <c r="FY148" s="1013"/>
      <c r="FZ148" s="1013"/>
      <c r="GA148" s="1013"/>
      <c r="GB148" s="1013"/>
      <c r="GC148" s="1013"/>
      <c r="GD148" s="1013"/>
      <c r="GE148" s="1013"/>
      <c r="GF148" s="1013"/>
      <c r="GG148" s="1013"/>
      <c r="GH148" s="1013"/>
      <c r="GI148" s="1013"/>
      <c r="GJ148" s="1013"/>
      <c r="GK148" s="1013"/>
      <c r="GL148" s="1013"/>
      <c r="GM148" s="1013"/>
      <c r="GN148" s="1013"/>
      <c r="GO148" s="1013"/>
      <c r="GP148" s="1013"/>
      <c r="GQ148" s="1013"/>
      <c r="GR148" s="1013"/>
      <c r="GS148" s="1013"/>
      <c r="GT148" s="1013"/>
      <c r="GU148" s="1013"/>
      <c r="GV148" s="1013"/>
      <c r="GW148" s="1013"/>
      <c r="GX148" s="1013"/>
      <c r="GY148" s="1013"/>
      <c r="GZ148" s="1013"/>
      <c r="HA148" s="1013"/>
    </row>
    <row r="149" spans="1:209" s="1003" customFormat="1" ht="23.25" customHeight="1">
      <c r="A149" s="950"/>
      <c r="B149" s="1001" t="s">
        <v>627</v>
      </c>
      <c r="C149" s="964"/>
      <c r="D149" s="998"/>
      <c r="E149" s="1004">
        <f>SUM(E144:E148)</f>
        <v>8</v>
      </c>
      <c r="F149" s="994"/>
      <c r="G149" s="994"/>
      <c r="H149" s="994"/>
      <c r="I149" s="994"/>
      <c r="J149" s="1005">
        <f>SUM(J146:J148)</f>
        <v>884142.11999999988</v>
      </c>
      <c r="K149" s="999">
        <f>SUM(K144:K148)</f>
        <v>1212952.3799999999</v>
      </c>
      <c r="L149" s="1005"/>
      <c r="M149" s="1005">
        <f>SUM(M146:M148)</f>
        <v>7197.1325012195121</v>
      </c>
      <c r="N149" s="965"/>
      <c r="O149" s="965"/>
      <c r="P149" s="965"/>
      <c r="Q149" s="965"/>
      <c r="R149" s="965"/>
      <c r="S149" s="965"/>
      <c r="T149" s="965"/>
      <c r="U149" s="965"/>
      <c r="V149" s="965"/>
      <c r="W149" s="965"/>
      <c r="X149" s="965"/>
      <c r="Y149" s="965"/>
      <c r="Z149" s="965"/>
      <c r="AA149" s="999">
        <f t="shared" ref="AA149:AH149" si="144">SUM(AA144:AA148)</f>
        <v>1595066.004</v>
      </c>
      <c r="AB149" s="999">
        <f t="shared" si="144"/>
        <v>0</v>
      </c>
      <c r="AC149" s="999">
        <f t="shared" si="144"/>
        <v>0</v>
      </c>
      <c r="AD149" s="999">
        <f t="shared" si="144"/>
        <v>121295.23800000001</v>
      </c>
      <c r="AE149" s="999">
        <f t="shared" si="144"/>
        <v>2929313.622</v>
      </c>
      <c r="AF149" s="999">
        <f t="shared" si="144"/>
        <v>35151763.464000002</v>
      </c>
      <c r="AG149" s="999">
        <f t="shared" si="144"/>
        <v>1212952.3799999999</v>
      </c>
      <c r="AH149" s="999">
        <f t="shared" si="144"/>
        <v>36364715.843999997</v>
      </c>
      <c r="AI149" s="1022"/>
      <c r="AJ149" s="1042"/>
      <c r="AK149" s="1021"/>
      <c r="AL149" s="1021"/>
      <c r="AM149" s="1013"/>
      <c r="AN149" s="1013"/>
      <c r="AO149" s="1013"/>
      <c r="AP149" s="1013"/>
      <c r="AQ149" s="1013"/>
      <c r="AR149" s="1013"/>
      <c r="AS149" s="1013"/>
      <c r="AT149" s="1013"/>
      <c r="AU149" s="1013"/>
      <c r="AV149" s="1013"/>
      <c r="AW149" s="1013"/>
      <c r="AX149" s="1013"/>
      <c r="AY149" s="1013"/>
      <c r="AZ149" s="1013"/>
      <c r="BA149" s="1013"/>
      <c r="BB149" s="1013"/>
      <c r="BC149" s="1013"/>
      <c r="BD149" s="1013"/>
      <c r="BE149" s="1013"/>
      <c r="BF149" s="1013"/>
      <c r="BG149" s="1013"/>
      <c r="BH149" s="1013"/>
      <c r="BI149" s="1013"/>
      <c r="BJ149" s="1013"/>
      <c r="BK149" s="1013"/>
      <c r="BL149" s="1013"/>
      <c r="BM149" s="1013"/>
      <c r="BN149" s="1013"/>
      <c r="BO149" s="1013"/>
      <c r="BP149" s="1013"/>
      <c r="BQ149" s="1013"/>
      <c r="BR149" s="1013"/>
      <c r="BS149" s="1013"/>
      <c r="BT149" s="1013"/>
      <c r="BU149" s="1013"/>
      <c r="BV149" s="1013"/>
      <c r="BW149" s="1013"/>
      <c r="BX149" s="1013"/>
      <c r="BY149" s="1013"/>
      <c r="BZ149" s="1013"/>
      <c r="CA149" s="1013"/>
      <c r="CB149" s="1013"/>
      <c r="CC149" s="1013"/>
      <c r="CD149" s="1013"/>
      <c r="CE149" s="1013"/>
      <c r="CF149" s="1013"/>
      <c r="CG149" s="1013"/>
      <c r="CH149" s="1013"/>
      <c r="CI149" s="1013"/>
      <c r="CJ149" s="1013"/>
      <c r="CK149" s="1013"/>
      <c r="CL149" s="1013"/>
      <c r="CM149" s="1013"/>
      <c r="CN149" s="1013"/>
      <c r="CO149" s="1013"/>
      <c r="CP149" s="1013"/>
      <c r="CQ149" s="1013"/>
      <c r="CR149" s="1013"/>
      <c r="CS149" s="1013"/>
      <c r="CT149" s="1013"/>
      <c r="CU149" s="1013"/>
      <c r="CV149" s="1013"/>
      <c r="CW149" s="1013"/>
      <c r="CX149" s="1013"/>
      <c r="CY149" s="1013"/>
      <c r="CZ149" s="1013"/>
      <c r="DA149" s="1013"/>
      <c r="DB149" s="1013"/>
      <c r="DC149" s="1013"/>
      <c r="DD149" s="1013"/>
      <c r="DE149" s="1013"/>
      <c r="DF149" s="1013"/>
      <c r="DG149" s="1013"/>
      <c r="DH149" s="1013"/>
      <c r="DI149" s="1013"/>
      <c r="DJ149" s="1013"/>
      <c r="DK149" s="1013"/>
      <c r="DL149" s="1013"/>
      <c r="DM149" s="1013"/>
      <c r="DN149" s="1013"/>
      <c r="DO149" s="1013"/>
      <c r="DP149" s="1013"/>
      <c r="DQ149" s="1013"/>
      <c r="DR149" s="1013"/>
      <c r="DS149" s="1013"/>
      <c r="DT149" s="1013"/>
      <c r="DU149" s="1013"/>
      <c r="DV149" s="1013"/>
      <c r="DW149" s="1013"/>
      <c r="DX149" s="1013"/>
      <c r="DY149" s="1013"/>
      <c r="DZ149" s="1013"/>
      <c r="EA149" s="1013"/>
      <c r="EB149" s="1013"/>
      <c r="EC149" s="1013"/>
      <c r="ED149" s="1013"/>
      <c r="EE149" s="1013"/>
      <c r="EF149" s="1013"/>
      <c r="EG149" s="1013"/>
      <c r="EH149" s="1013"/>
      <c r="EI149" s="1013"/>
      <c r="EJ149" s="1013"/>
      <c r="EK149" s="1013"/>
      <c r="EL149" s="1013"/>
      <c r="EM149" s="1013"/>
      <c r="EN149" s="1013"/>
      <c r="EO149" s="1013"/>
      <c r="EP149" s="1013"/>
      <c r="EQ149" s="1013"/>
      <c r="ER149" s="1013"/>
      <c r="ES149" s="1013"/>
      <c r="ET149" s="1013"/>
      <c r="EU149" s="1013"/>
      <c r="EV149" s="1013"/>
      <c r="EW149" s="1013"/>
      <c r="EX149" s="1013"/>
      <c r="EY149" s="1013"/>
      <c r="EZ149" s="1013"/>
      <c r="FA149" s="1013"/>
      <c r="FB149" s="1013"/>
      <c r="FC149" s="1013"/>
      <c r="FD149" s="1013"/>
      <c r="FE149" s="1013"/>
      <c r="FF149" s="1013"/>
      <c r="FG149" s="1013"/>
      <c r="FH149" s="1013"/>
      <c r="FI149" s="1013"/>
      <c r="FJ149" s="1013"/>
      <c r="FK149" s="1013"/>
      <c r="FL149" s="1013"/>
      <c r="FM149" s="1013"/>
      <c r="FN149" s="1013"/>
      <c r="FO149" s="1013"/>
      <c r="FP149" s="1013"/>
      <c r="FQ149" s="1013"/>
      <c r="FR149" s="1013"/>
      <c r="FS149" s="1013"/>
      <c r="FT149" s="1013"/>
      <c r="FU149" s="1013"/>
      <c r="FV149" s="1013"/>
      <c r="FW149" s="1013"/>
      <c r="FX149" s="1013"/>
      <c r="FY149" s="1013"/>
      <c r="FZ149" s="1013"/>
      <c r="GA149" s="1013"/>
      <c r="GB149" s="1013"/>
      <c r="GC149" s="1013"/>
      <c r="GD149" s="1013"/>
      <c r="GE149" s="1013"/>
      <c r="GF149" s="1013"/>
      <c r="GG149" s="1013"/>
      <c r="GH149" s="1013"/>
      <c r="GI149" s="1013"/>
      <c r="GJ149" s="1013"/>
      <c r="GK149" s="1013"/>
      <c r="GL149" s="1013"/>
      <c r="GM149" s="1013"/>
      <c r="GN149" s="1013"/>
      <c r="GO149" s="1013"/>
      <c r="GP149" s="1013"/>
      <c r="GQ149" s="1013"/>
      <c r="GR149" s="1013"/>
      <c r="GS149" s="1013"/>
      <c r="GT149" s="1013"/>
      <c r="GU149" s="1013"/>
      <c r="GV149" s="1013"/>
      <c r="GW149" s="1013"/>
      <c r="GX149" s="1013"/>
      <c r="GY149" s="1013"/>
      <c r="GZ149" s="1013"/>
      <c r="HA149" s="1013"/>
    </row>
    <row r="150" spans="1:209" s="1003" customFormat="1" ht="23.25" customHeight="1">
      <c r="A150" s="950"/>
      <c r="B150" s="952"/>
      <c r="C150" s="964"/>
      <c r="D150" s="963"/>
      <c r="E150" s="963"/>
      <c r="F150" s="963"/>
      <c r="G150" s="963"/>
      <c r="H150" s="963"/>
      <c r="I150" s="963"/>
      <c r="J150" s="963"/>
      <c r="K150" s="963"/>
      <c r="L150" s="963"/>
      <c r="M150" s="963"/>
      <c r="N150" s="963"/>
      <c r="O150" s="963"/>
      <c r="P150" s="963"/>
      <c r="Q150" s="966" t="s">
        <v>1219</v>
      </c>
      <c r="R150" s="963"/>
      <c r="S150" s="963"/>
      <c r="T150" s="963"/>
      <c r="U150" s="963"/>
      <c r="V150" s="963"/>
      <c r="W150" s="963"/>
      <c r="X150" s="963"/>
      <c r="Y150" s="963"/>
      <c r="Z150" s="963"/>
      <c r="AA150" s="963"/>
      <c r="AB150" s="963"/>
      <c r="AC150" s="963"/>
      <c r="AD150" s="963"/>
      <c r="AE150" s="963"/>
      <c r="AF150" s="963"/>
      <c r="AG150" s="963"/>
      <c r="AH150" s="963"/>
      <c r="AI150" s="1013"/>
      <c r="AJ150" s="1013"/>
      <c r="AK150" s="1021"/>
      <c r="AL150" s="1021"/>
      <c r="AM150" s="1013"/>
      <c r="AN150" s="1013"/>
      <c r="AO150" s="1013"/>
      <c r="AP150" s="1013"/>
      <c r="AQ150" s="1013"/>
      <c r="AR150" s="1013"/>
      <c r="AS150" s="1013"/>
      <c r="AT150" s="1013"/>
      <c r="AU150" s="1013"/>
      <c r="AV150" s="1013"/>
      <c r="AW150" s="1013"/>
      <c r="AX150" s="1013"/>
      <c r="AY150" s="1013"/>
      <c r="AZ150" s="1013"/>
      <c r="BA150" s="1013"/>
      <c r="BB150" s="1013"/>
      <c r="BC150" s="1013"/>
      <c r="BD150" s="1013"/>
      <c r="BE150" s="1013"/>
      <c r="BF150" s="1013"/>
      <c r="BG150" s="1013"/>
      <c r="BH150" s="1013"/>
      <c r="BI150" s="1013"/>
      <c r="BJ150" s="1013"/>
      <c r="BK150" s="1013"/>
      <c r="BL150" s="1013"/>
      <c r="BM150" s="1013"/>
      <c r="BN150" s="1013"/>
      <c r="BO150" s="1013"/>
      <c r="BP150" s="1013"/>
      <c r="BQ150" s="1013"/>
      <c r="BR150" s="1013"/>
      <c r="BS150" s="1013"/>
      <c r="BT150" s="1013"/>
      <c r="BU150" s="1013"/>
      <c r="BV150" s="1013"/>
      <c r="BW150" s="1013"/>
      <c r="BX150" s="1013"/>
      <c r="BY150" s="1013"/>
      <c r="BZ150" s="1013"/>
      <c r="CA150" s="1013"/>
      <c r="CB150" s="1013"/>
      <c r="CC150" s="1013"/>
      <c r="CD150" s="1013"/>
      <c r="CE150" s="1013"/>
      <c r="CF150" s="1013"/>
      <c r="CG150" s="1013"/>
      <c r="CH150" s="1013"/>
      <c r="CI150" s="1013"/>
      <c r="CJ150" s="1013"/>
      <c r="CK150" s="1013"/>
      <c r="CL150" s="1013"/>
      <c r="CM150" s="1013"/>
      <c r="CN150" s="1013"/>
      <c r="CO150" s="1013"/>
      <c r="CP150" s="1013"/>
      <c r="CQ150" s="1013"/>
      <c r="CR150" s="1013"/>
      <c r="CS150" s="1013"/>
      <c r="CT150" s="1013"/>
      <c r="CU150" s="1013"/>
      <c r="CV150" s="1013"/>
      <c r="CW150" s="1013"/>
      <c r="CX150" s="1013"/>
      <c r="CY150" s="1013"/>
      <c r="CZ150" s="1013"/>
      <c r="DA150" s="1013"/>
      <c r="DB150" s="1013"/>
      <c r="DC150" s="1013"/>
      <c r="DD150" s="1013"/>
      <c r="DE150" s="1013"/>
      <c r="DF150" s="1013"/>
      <c r="DG150" s="1013"/>
      <c r="DH150" s="1013"/>
      <c r="DI150" s="1013"/>
      <c r="DJ150" s="1013"/>
      <c r="DK150" s="1013"/>
      <c r="DL150" s="1013"/>
      <c r="DM150" s="1013"/>
      <c r="DN150" s="1013"/>
      <c r="DO150" s="1013"/>
      <c r="DP150" s="1013"/>
      <c r="DQ150" s="1013"/>
      <c r="DR150" s="1013"/>
      <c r="DS150" s="1013"/>
      <c r="DT150" s="1013"/>
      <c r="DU150" s="1013"/>
      <c r="DV150" s="1013"/>
      <c r="DW150" s="1013"/>
      <c r="DX150" s="1013"/>
      <c r="DY150" s="1013"/>
      <c r="DZ150" s="1013"/>
      <c r="EA150" s="1013"/>
      <c r="EB150" s="1013"/>
      <c r="EC150" s="1013"/>
      <c r="ED150" s="1013"/>
      <c r="EE150" s="1013"/>
      <c r="EF150" s="1013"/>
      <c r="EG150" s="1013"/>
      <c r="EH150" s="1013"/>
      <c r="EI150" s="1013"/>
      <c r="EJ150" s="1013"/>
      <c r="EK150" s="1013"/>
      <c r="EL150" s="1013"/>
      <c r="EM150" s="1013"/>
      <c r="EN150" s="1013"/>
      <c r="EO150" s="1013"/>
      <c r="EP150" s="1013"/>
      <c r="EQ150" s="1013"/>
      <c r="ER150" s="1013"/>
      <c r="ES150" s="1013"/>
      <c r="ET150" s="1013"/>
      <c r="EU150" s="1013"/>
      <c r="EV150" s="1013"/>
      <c r="EW150" s="1013"/>
      <c r="EX150" s="1013"/>
      <c r="EY150" s="1013"/>
      <c r="EZ150" s="1013"/>
      <c r="FA150" s="1013"/>
      <c r="FB150" s="1013"/>
      <c r="FC150" s="1013"/>
      <c r="FD150" s="1013"/>
      <c r="FE150" s="1013"/>
      <c r="FF150" s="1013"/>
      <c r="FG150" s="1013"/>
      <c r="FH150" s="1013"/>
      <c r="FI150" s="1013"/>
      <c r="FJ150" s="1013"/>
      <c r="FK150" s="1013"/>
      <c r="FL150" s="1013"/>
      <c r="FM150" s="1013"/>
      <c r="FN150" s="1013"/>
      <c r="FO150" s="1013"/>
      <c r="FP150" s="1013"/>
      <c r="FQ150" s="1013"/>
      <c r="FR150" s="1013"/>
      <c r="FS150" s="1013"/>
      <c r="FT150" s="1013"/>
      <c r="FU150" s="1013"/>
      <c r="FV150" s="1013"/>
      <c r="FW150" s="1013"/>
      <c r="FX150" s="1013"/>
      <c r="FY150" s="1013"/>
      <c r="FZ150" s="1013"/>
      <c r="GA150" s="1013"/>
      <c r="GB150" s="1013"/>
      <c r="GC150" s="1013"/>
      <c r="GD150" s="1013"/>
      <c r="GE150" s="1013"/>
      <c r="GF150" s="1013"/>
      <c r="GG150" s="1013"/>
      <c r="GH150" s="1013"/>
      <c r="GI150" s="1013"/>
      <c r="GJ150" s="1013"/>
      <c r="GK150" s="1013"/>
      <c r="GL150" s="1013"/>
      <c r="GM150" s="1013"/>
      <c r="GN150" s="1013"/>
      <c r="GO150" s="1013"/>
      <c r="GP150" s="1013"/>
      <c r="GQ150" s="1013"/>
      <c r="GR150" s="1013"/>
      <c r="GS150" s="1013"/>
      <c r="GT150" s="1013"/>
      <c r="GU150" s="1013"/>
      <c r="GV150" s="1013"/>
      <c r="GW150" s="1013"/>
      <c r="GX150" s="1013"/>
      <c r="GY150" s="1013"/>
      <c r="GZ150" s="1013"/>
      <c r="HA150" s="1013"/>
    </row>
    <row r="151" spans="1:209" s="1003" customFormat="1" ht="40.5" customHeight="1">
      <c r="A151" s="950">
        <v>1</v>
      </c>
      <c r="B151" s="952" t="s">
        <v>818</v>
      </c>
      <c r="C151" s="952" t="s">
        <v>875</v>
      </c>
      <c r="D151" s="950" t="s">
        <v>153</v>
      </c>
      <c r="E151" s="950">
        <v>1</v>
      </c>
      <c r="F151" s="950" t="s">
        <v>1217</v>
      </c>
      <c r="G151" s="956">
        <v>5.19</v>
      </c>
      <c r="H151" s="958">
        <v>17697</v>
      </c>
      <c r="I151" s="955">
        <v>2</v>
      </c>
      <c r="J151" s="963"/>
      <c r="K151" s="958">
        <f t="shared" ref="K151:K152" si="145">H151*G151*E151*I151</f>
        <v>183694.86000000002</v>
      </c>
      <c r="L151" s="963"/>
      <c r="M151" s="963"/>
      <c r="N151" s="963"/>
      <c r="O151" s="963"/>
      <c r="P151" s="963"/>
      <c r="Q151" s="966"/>
      <c r="R151" s="963"/>
      <c r="S151" s="963"/>
      <c r="T151" s="963"/>
      <c r="U151" s="963"/>
      <c r="V151" s="963"/>
      <c r="W151" s="963"/>
      <c r="X151" s="963"/>
      <c r="Y151" s="958">
        <v>80</v>
      </c>
      <c r="Z151" s="959">
        <f>Y151*350%</f>
        <v>280</v>
      </c>
      <c r="AA151" s="959">
        <f>K151*Z151%</f>
        <v>514345.60800000001</v>
      </c>
      <c r="AB151" s="963"/>
      <c r="AC151" s="963"/>
      <c r="AD151" s="958">
        <f t="shared" ref="AD151:AD152" si="146">K151*0.1</f>
        <v>18369.486000000001</v>
      </c>
      <c r="AE151" s="958">
        <f t="shared" ref="AE151:AE152" si="147">K151+N151+O151+Q151+S151+U151+W151+X151+AA151+AD151+AC151</f>
        <v>716409.95400000003</v>
      </c>
      <c r="AF151" s="958">
        <f t="shared" ref="AF151:AF152" si="148">AE151*12</f>
        <v>8596919.4480000008</v>
      </c>
      <c r="AG151" s="958">
        <f t="shared" ref="AG151:AG152" si="149">K151</f>
        <v>183694.86000000002</v>
      </c>
      <c r="AH151" s="958">
        <f t="shared" ref="AH151:AH152" si="150">AE151*12+AG151</f>
        <v>8780614.3080000002</v>
      </c>
      <c r="AI151" s="1013"/>
      <c r="AJ151" s="1013"/>
      <c r="AK151" s="1021"/>
      <c r="AL151" s="1021"/>
      <c r="AM151" s="1013"/>
      <c r="AN151" s="1013"/>
      <c r="AO151" s="1013"/>
      <c r="AP151" s="1013"/>
      <c r="AQ151" s="1013"/>
      <c r="AR151" s="1013"/>
      <c r="AS151" s="1013"/>
      <c r="AT151" s="1013"/>
      <c r="AU151" s="1013"/>
      <c r="AV151" s="1013"/>
      <c r="AW151" s="1013"/>
      <c r="AX151" s="1013"/>
      <c r="AY151" s="1013"/>
      <c r="AZ151" s="1013"/>
      <c r="BA151" s="1013"/>
      <c r="BB151" s="1013"/>
      <c r="BC151" s="1013"/>
      <c r="BD151" s="1013"/>
      <c r="BE151" s="1013"/>
      <c r="BF151" s="1013"/>
      <c r="BG151" s="1013"/>
      <c r="BH151" s="1013"/>
      <c r="BI151" s="1013"/>
      <c r="BJ151" s="1013"/>
      <c r="BK151" s="1013"/>
      <c r="BL151" s="1013"/>
      <c r="BM151" s="1013"/>
      <c r="BN151" s="1013"/>
      <c r="BO151" s="1013"/>
      <c r="BP151" s="1013"/>
      <c r="BQ151" s="1013"/>
      <c r="BR151" s="1013"/>
      <c r="BS151" s="1013"/>
      <c r="BT151" s="1013"/>
      <c r="BU151" s="1013"/>
      <c r="BV151" s="1013"/>
      <c r="BW151" s="1013"/>
      <c r="BX151" s="1013"/>
      <c r="BY151" s="1013"/>
      <c r="BZ151" s="1013"/>
      <c r="CA151" s="1013"/>
      <c r="CB151" s="1013"/>
      <c r="CC151" s="1013"/>
      <c r="CD151" s="1013"/>
      <c r="CE151" s="1013"/>
      <c r="CF151" s="1013"/>
      <c r="CG151" s="1013"/>
      <c r="CH151" s="1013"/>
      <c r="CI151" s="1013"/>
      <c r="CJ151" s="1013"/>
      <c r="CK151" s="1013"/>
      <c r="CL151" s="1013"/>
      <c r="CM151" s="1013"/>
      <c r="CN151" s="1013"/>
      <c r="CO151" s="1013"/>
      <c r="CP151" s="1013"/>
      <c r="CQ151" s="1013"/>
      <c r="CR151" s="1013"/>
      <c r="CS151" s="1013"/>
      <c r="CT151" s="1013"/>
      <c r="CU151" s="1013"/>
      <c r="CV151" s="1013"/>
      <c r="CW151" s="1013"/>
      <c r="CX151" s="1013"/>
      <c r="CY151" s="1013"/>
      <c r="CZ151" s="1013"/>
      <c r="DA151" s="1013"/>
      <c r="DB151" s="1013"/>
      <c r="DC151" s="1013"/>
      <c r="DD151" s="1013"/>
      <c r="DE151" s="1013"/>
      <c r="DF151" s="1013"/>
      <c r="DG151" s="1013"/>
      <c r="DH151" s="1013"/>
      <c r="DI151" s="1013"/>
      <c r="DJ151" s="1013"/>
      <c r="DK151" s="1013"/>
      <c r="DL151" s="1013"/>
      <c r="DM151" s="1013"/>
      <c r="DN151" s="1013"/>
      <c r="DO151" s="1013"/>
      <c r="DP151" s="1013"/>
      <c r="DQ151" s="1013"/>
      <c r="DR151" s="1013"/>
      <c r="DS151" s="1013"/>
      <c r="DT151" s="1013"/>
      <c r="DU151" s="1013"/>
      <c r="DV151" s="1013"/>
      <c r="DW151" s="1013"/>
      <c r="DX151" s="1013"/>
      <c r="DY151" s="1013"/>
      <c r="DZ151" s="1013"/>
      <c r="EA151" s="1013"/>
      <c r="EB151" s="1013"/>
      <c r="EC151" s="1013"/>
      <c r="ED151" s="1013"/>
      <c r="EE151" s="1013"/>
      <c r="EF151" s="1013"/>
      <c r="EG151" s="1013"/>
      <c r="EH151" s="1013"/>
      <c r="EI151" s="1013"/>
      <c r="EJ151" s="1013"/>
      <c r="EK151" s="1013"/>
      <c r="EL151" s="1013"/>
      <c r="EM151" s="1013"/>
      <c r="EN151" s="1013"/>
      <c r="EO151" s="1013"/>
      <c r="EP151" s="1013"/>
      <c r="EQ151" s="1013"/>
      <c r="ER151" s="1013"/>
      <c r="ES151" s="1013"/>
      <c r="ET151" s="1013"/>
      <c r="EU151" s="1013"/>
      <c r="EV151" s="1013"/>
      <c r="EW151" s="1013"/>
      <c r="EX151" s="1013"/>
      <c r="EY151" s="1013"/>
      <c r="EZ151" s="1013"/>
      <c r="FA151" s="1013"/>
      <c r="FB151" s="1013"/>
      <c r="FC151" s="1013"/>
      <c r="FD151" s="1013"/>
      <c r="FE151" s="1013"/>
      <c r="FF151" s="1013"/>
      <c r="FG151" s="1013"/>
      <c r="FH151" s="1013"/>
      <c r="FI151" s="1013"/>
      <c r="FJ151" s="1013"/>
      <c r="FK151" s="1013"/>
      <c r="FL151" s="1013"/>
      <c r="FM151" s="1013"/>
      <c r="FN151" s="1013"/>
      <c r="FO151" s="1013"/>
      <c r="FP151" s="1013"/>
      <c r="FQ151" s="1013"/>
      <c r="FR151" s="1013"/>
      <c r="FS151" s="1013"/>
      <c r="FT151" s="1013"/>
      <c r="FU151" s="1013"/>
      <c r="FV151" s="1013"/>
      <c r="FW151" s="1013"/>
      <c r="FX151" s="1013"/>
      <c r="FY151" s="1013"/>
      <c r="FZ151" s="1013"/>
      <c r="GA151" s="1013"/>
      <c r="GB151" s="1013"/>
      <c r="GC151" s="1013"/>
      <c r="GD151" s="1013"/>
      <c r="GE151" s="1013"/>
      <c r="GF151" s="1013"/>
      <c r="GG151" s="1013"/>
      <c r="GH151" s="1013"/>
      <c r="GI151" s="1013"/>
      <c r="GJ151" s="1013"/>
      <c r="GK151" s="1013"/>
      <c r="GL151" s="1013"/>
      <c r="GM151" s="1013"/>
      <c r="GN151" s="1013"/>
      <c r="GO151" s="1013"/>
      <c r="GP151" s="1013"/>
      <c r="GQ151" s="1013"/>
      <c r="GR151" s="1013"/>
      <c r="GS151" s="1013"/>
      <c r="GT151" s="1013"/>
      <c r="GU151" s="1013"/>
      <c r="GV151" s="1013"/>
      <c r="GW151" s="1013"/>
      <c r="GX151" s="1013"/>
      <c r="GY151" s="1013"/>
      <c r="GZ151" s="1013"/>
      <c r="HA151" s="1013"/>
    </row>
    <row r="152" spans="1:209" s="1003" customFormat="1" ht="29.25" customHeight="1">
      <c r="A152" s="994">
        <v>2</v>
      </c>
      <c r="B152" s="951" t="s">
        <v>819</v>
      </c>
      <c r="C152" s="996" t="s">
        <v>714</v>
      </c>
      <c r="D152" s="953" t="s">
        <v>73</v>
      </c>
      <c r="E152" s="954">
        <v>2</v>
      </c>
      <c r="F152" s="950" t="s">
        <v>817</v>
      </c>
      <c r="G152" s="956">
        <v>4.0999999999999996</v>
      </c>
      <c r="H152" s="957">
        <v>17697</v>
      </c>
      <c r="I152" s="955">
        <v>2</v>
      </c>
      <c r="J152" s="958"/>
      <c r="K152" s="958">
        <f t="shared" si="145"/>
        <v>290230.8</v>
      </c>
      <c r="L152" s="958">
        <v>0</v>
      </c>
      <c r="M152" s="958"/>
      <c r="N152" s="958"/>
      <c r="O152" s="958"/>
      <c r="P152" s="958"/>
      <c r="Q152" s="958"/>
      <c r="R152" s="958"/>
      <c r="S152" s="958"/>
      <c r="T152" s="958"/>
      <c r="U152" s="958"/>
      <c r="V152" s="958"/>
      <c r="W152" s="958"/>
      <c r="X152" s="958"/>
      <c r="Y152" s="958">
        <v>60</v>
      </c>
      <c r="Z152" s="959">
        <f t="shared" ref="Z152" si="151">Y152*350%</f>
        <v>210</v>
      </c>
      <c r="AA152" s="959">
        <f>K152*Z152%</f>
        <v>609484.68000000005</v>
      </c>
      <c r="AB152" s="959"/>
      <c r="AC152" s="959"/>
      <c r="AD152" s="958">
        <f t="shared" si="146"/>
        <v>29023.08</v>
      </c>
      <c r="AE152" s="958">
        <f t="shared" si="147"/>
        <v>928738.55999999994</v>
      </c>
      <c r="AF152" s="958">
        <f t="shared" si="148"/>
        <v>11144862.719999999</v>
      </c>
      <c r="AG152" s="958">
        <f t="shared" si="149"/>
        <v>290230.8</v>
      </c>
      <c r="AH152" s="958">
        <f t="shared" si="150"/>
        <v>11435093.52</v>
      </c>
      <c r="AI152" s="1020"/>
      <c r="AJ152" s="1020"/>
      <c r="AK152" s="1021"/>
      <c r="AL152" s="1021"/>
      <c r="AM152" s="1013"/>
      <c r="AN152" s="1013"/>
      <c r="AO152" s="1013"/>
      <c r="AP152" s="1013"/>
      <c r="AQ152" s="1013"/>
      <c r="AR152" s="1013"/>
      <c r="AS152" s="1013"/>
      <c r="AT152" s="1013"/>
      <c r="AU152" s="1013"/>
      <c r="AV152" s="1013"/>
      <c r="AW152" s="1013"/>
      <c r="AX152" s="1013"/>
      <c r="AY152" s="1013"/>
      <c r="AZ152" s="1013"/>
      <c r="BA152" s="1013"/>
      <c r="BB152" s="1013"/>
      <c r="BC152" s="1013"/>
      <c r="BD152" s="1013"/>
      <c r="BE152" s="1013"/>
      <c r="BF152" s="1013"/>
      <c r="BG152" s="1013"/>
      <c r="BH152" s="1013"/>
      <c r="BI152" s="1013"/>
      <c r="BJ152" s="1013"/>
      <c r="BK152" s="1013"/>
      <c r="BL152" s="1013"/>
      <c r="BM152" s="1013"/>
      <c r="BN152" s="1013"/>
      <c r="BO152" s="1013"/>
      <c r="BP152" s="1013"/>
      <c r="BQ152" s="1013"/>
      <c r="BR152" s="1013"/>
      <c r="BS152" s="1013"/>
      <c r="BT152" s="1013"/>
      <c r="BU152" s="1013"/>
      <c r="BV152" s="1013"/>
      <c r="BW152" s="1013"/>
      <c r="BX152" s="1013"/>
      <c r="BY152" s="1013"/>
      <c r="BZ152" s="1013"/>
      <c r="CA152" s="1013"/>
      <c r="CB152" s="1013"/>
      <c r="CC152" s="1013"/>
      <c r="CD152" s="1013"/>
      <c r="CE152" s="1013"/>
      <c r="CF152" s="1013"/>
      <c r="CG152" s="1013"/>
      <c r="CH152" s="1013"/>
      <c r="CI152" s="1013"/>
      <c r="CJ152" s="1013"/>
      <c r="CK152" s="1013"/>
      <c r="CL152" s="1013"/>
      <c r="CM152" s="1013"/>
      <c r="CN152" s="1013"/>
      <c r="CO152" s="1013"/>
      <c r="CP152" s="1013"/>
      <c r="CQ152" s="1013"/>
      <c r="CR152" s="1013"/>
      <c r="CS152" s="1013"/>
      <c r="CT152" s="1013"/>
      <c r="CU152" s="1013"/>
      <c r="CV152" s="1013"/>
      <c r="CW152" s="1013"/>
      <c r="CX152" s="1013"/>
      <c r="CY152" s="1013"/>
      <c r="CZ152" s="1013"/>
      <c r="DA152" s="1013"/>
      <c r="DB152" s="1013"/>
      <c r="DC152" s="1013"/>
      <c r="DD152" s="1013"/>
      <c r="DE152" s="1013"/>
      <c r="DF152" s="1013"/>
      <c r="DG152" s="1013"/>
      <c r="DH152" s="1013"/>
      <c r="DI152" s="1013"/>
      <c r="DJ152" s="1013"/>
      <c r="DK152" s="1013"/>
      <c r="DL152" s="1013"/>
      <c r="DM152" s="1013"/>
      <c r="DN152" s="1013"/>
      <c r="DO152" s="1013"/>
      <c r="DP152" s="1013"/>
      <c r="DQ152" s="1013"/>
      <c r="DR152" s="1013"/>
      <c r="DS152" s="1013"/>
      <c r="DT152" s="1013"/>
      <c r="DU152" s="1013"/>
      <c r="DV152" s="1013"/>
      <c r="DW152" s="1013"/>
      <c r="DX152" s="1013"/>
      <c r="DY152" s="1013"/>
      <c r="DZ152" s="1013"/>
      <c r="EA152" s="1013"/>
      <c r="EB152" s="1013"/>
      <c r="EC152" s="1013"/>
      <c r="ED152" s="1013"/>
      <c r="EE152" s="1013"/>
      <c r="EF152" s="1013"/>
      <c r="EG152" s="1013"/>
      <c r="EH152" s="1013"/>
      <c r="EI152" s="1013"/>
      <c r="EJ152" s="1013"/>
      <c r="EK152" s="1013"/>
      <c r="EL152" s="1013"/>
      <c r="EM152" s="1013"/>
      <c r="EN152" s="1013"/>
      <c r="EO152" s="1013"/>
      <c r="EP152" s="1013"/>
      <c r="EQ152" s="1013"/>
      <c r="ER152" s="1013"/>
      <c r="ES152" s="1013"/>
      <c r="ET152" s="1013"/>
      <c r="EU152" s="1013"/>
      <c r="EV152" s="1013"/>
      <c r="EW152" s="1013"/>
      <c r="EX152" s="1013"/>
      <c r="EY152" s="1013"/>
      <c r="EZ152" s="1013"/>
      <c r="FA152" s="1013"/>
      <c r="FB152" s="1013"/>
      <c r="FC152" s="1013"/>
      <c r="FD152" s="1013"/>
      <c r="FE152" s="1013"/>
      <c r="FF152" s="1013"/>
      <c r="FG152" s="1013"/>
      <c r="FH152" s="1013"/>
      <c r="FI152" s="1013"/>
      <c r="FJ152" s="1013"/>
      <c r="FK152" s="1013"/>
      <c r="FL152" s="1013"/>
      <c r="FM152" s="1013"/>
      <c r="FN152" s="1013"/>
      <c r="FO152" s="1013"/>
      <c r="FP152" s="1013"/>
      <c r="FQ152" s="1013"/>
      <c r="FR152" s="1013"/>
      <c r="FS152" s="1013"/>
      <c r="FT152" s="1013"/>
      <c r="FU152" s="1013"/>
      <c r="FV152" s="1013"/>
      <c r="FW152" s="1013"/>
      <c r="FX152" s="1013"/>
      <c r="FY152" s="1013"/>
      <c r="FZ152" s="1013"/>
      <c r="GA152" s="1013"/>
      <c r="GB152" s="1013"/>
      <c r="GC152" s="1013"/>
      <c r="GD152" s="1013"/>
      <c r="GE152" s="1013"/>
      <c r="GF152" s="1013"/>
      <c r="GG152" s="1013"/>
      <c r="GH152" s="1013"/>
      <c r="GI152" s="1013"/>
      <c r="GJ152" s="1013"/>
      <c r="GK152" s="1013"/>
      <c r="GL152" s="1013"/>
      <c r="GM152" s="1013"/>
      <c r="GN152" s="1013"/>
      <c r="GO152" s="1013"/>
      <c r="GP152" s="1013"/>
      <c r="GQ152" s="1013"/>
      <c r="GR152" s="1013"/>
      <c r="GS152" s="1013"/>
      <c r="GT152" s="1013"/>
      <c r="GU152" s="1013"/>
      <c r="GV152" s="1013"/>
      <c r="GW152" s="1013"/>
      <c r="GX152" s="1013"/>
      <c r="GY152" s="1013"/>
      <c r="GZ152" s="1013"/>
      <c r="HA152" s="1013"/>
    </row>
    <row r="153" spans="1:209" s="1003" customFormat="1" ht="28.5" customHeight="1">
      <c r="A153" s="950"/>
      <c r="B153" s="1001" t="s">
        <v>627</v>
      </c>
      <c r="C153" s="964"/>
      <c r="D153" s="998"/>
      <c r="E153" s="999">
        <f>SUM(E151:E152)</f>
        <v>3</v>
      </c>
      <c r="F153" s="994"/>
      <c r="G153" s="994"/>
      <c r="H153" s="994"/>
      <c r="I153" s="994"/>
      <c r="J153" s="994"/>
      <c r="K153" s="999">
        <f>SUM(K151:K152)</f>
        <v>473925.66000000003</v>
      </c>
      <c r="L153" s="965" t="e">
        <f>SUM(#REF!)</f>
        <v>#REF!</v>
      </c>
      <c r="M153" s="965"/>
      <c r="N153" s="965"/>
      <c r="O153" s="965"/>
      <c r="P153" s="965"/>
      <c r="Q153" s="965"/>
      <c r="R153" s="965"/>
      <c r="S153" s="965"/>
      <c r="T153" s="965"/>
      <c r="U153" s="965"/>
      <c r="V153" s="965"/>
      <c r="W153" s="965"/>
      <c r="X153" s="965"/>
      <c r="Y153" s="965"/>
      <c r="Z153" s="965"/>
      <c r="AA153" s="999">
        <f>SUM(AA151:AA152)</f>
        <v>1123830.2880000002</v>
      </c>
      <c r="AB153" s="961"/>
      <c r="AC153" s="961"/>
      <c r="AD153" s="999">
        <f>SUM(AD151:AD152)</f>
        <v>47392.566000000006</v>
      </c>
      <c r="AE153" s="999">
        <f>SUM(AE151:AE152)</f>
        <v>1645148.514</v>
      </c>
      <c r="AF153" s="999">
        <f>SUM(AF151:AF152)</f>
        <v>19741782.167999998</v>
      </c>
      <c r="AG153" s="999">
        <f>SUM(AG151:AG152)</f>
        <v>473925.66000000003</v>
      </c>
      <c r="AH153" s="999">
        <f>SUM(AH151:AH152)</f>
        <v>20215707.828000002</v>
      </c>
      <c r="AI153" s="1022"/>
      <c r="AJ153" s="1023"/>
      <c r="AK153" s="1021"/>
      <c r="AL153" s="1021"/>
      <c r="AM153" s="1013"/>
      <c r="AN153" s="1013"/>
      <c r="AO153" s="1013"/>
      <c r="AP153" s="1013"/>
      <c r="AQ153" s="1013"/>
      <c r="AR153" s="1013"/>
      <c r="AS153" s="1013"/>
      <c r="AT153" s="1013"/>
      <c r="AU153" s="1013"/>
      <c r="AV153" s="1013"/>
      <c r="AW153" s="1013"/>
      <c r="AX153" s="1013"/>
      <c r="AY153" s="1013"/>
      <c r="AZ153" s="1013"/>
      <c r="BA153" s="1013"/>
      <c r="BB153" s="1013"/>
      <c r="BC153" s="1013"/>
      <c r="BD153" s="1013"/>
      <c r="BE153" s="1013"/>
      <c r="BF153" s="1013"/>
      <c r="BG153" s="1013"/>
      <c r="BH153" s="1013"/>
      <c r="BI153" s="1013"/>
      <c r="BJ153" s="1013"/>
      <c r="BK153" s="1013"/>
      <c r="BL153" s="1013"/>
      <c r="BM153" s="1013"/>
      <c r="BN153" s="1013"/>
      <c r="BO153" s="1013"/>
      <c r="BP153" s="1013"/>
      <c r="BQ153" s="1013"/>
      <c r="BR153" s="1013"/>
      <c r="BS153" s="1013"/>
      <c r="BT153" s="1013"/>
      <c r="BU153" s="1013"/>
      <c r="BV153" s="1013"/>
      <c r="BW153" s="1013"/>
      <c r="BX153" s="1013"/>
      <c r="BY153" s="1013"/>
      <c r="BZ153" s="1013"/>
      <c r="CA153" s="1013"/>
      <c r="CB153" s="1013"/>
      <c r="CC153" s="1013"/>
      <c r="CD153" s="1013"/>
      <c r="CE153" s="1013"/>
      <c r="CF153" s="1013"/>
      <c r="CG153" s="1013"/>
      <c r="CH153" s="1013"/>
      <c r="CI153" s="1013"/>
      <c r="CJ153" s="1013"/>
      <c r="CK153" s="1013"/>
      <c r="CL153" s="1013"/>
      <c r="CM153" s="1013"/>
      <c r="CN153" s="1013"/>
      <c r="CO153" s="1013"/>
      <c r="CP153" s="1013"/>
      <c r="CQ153" s="1013"/>
      <c r="CR153" s="1013"/>
      <c r="CS153" s="1013"/>
      <c r="CT153" s="1013"/>
      <c r="CU153" s="1013"/>
      <c r="CV153" s="1013"/>
      <c r="CW153" s="1013"/>
      <c r="CX153" s="1013"/>
      <c r="CY153" s="1013"/>
      <c r="CZ153" s="1013"/>
      <c r="DA153" s="1013"/>
      <c r="DB153" s="1013"/>
      <c r="DC153" s="1013"/>
      <c r="DD153" s="1013"/>
      <c r="DE153" s="1013"/>
      <c r="DF153" s="1013"/>
      <c r="DG153" s="1013"/>
      <c r="DH153" s="1013"/>
      <c r="DI153" s="1013"/>
      <c r="DJ153" s="1013"/>
      <c r="DK153" s="1013"/>
      <c r="DL153" s="1013"/>
      <c r="DM153" s="1013"/>
      <c r="DN153" s="1013"/>
      <c r="DO153" s="1013"/>
      <c r="DP153" s="1013"/>
      <c r="DQ153" s="1013"/>
      <c r="DR153" s="1013"/>
      <c r="DS153" s="1013"/>
      <c r="DT153" s="1013"/>
      <c r="DU153" s="1013"/>
      <c r="DV153" s="1013"/>
      <c r="DW153" s="1013"/>
      <c r="DX153" s="1013"/>
      <c r="DY153" s="1013"/>
      <c r="DZ153" s="1013"/>
      <c r="EA153" s="1013"/>
      <c r="EB153" s="1013"/>
      <c r="EC153" s="1013"/>
      <c r="ED153" s="1013"/>
      <c r="EE153" s="1013"/>
      <c r="EF153" s="1013"/>
      <c r="EG153" s="1013"/>
      <c r="EH153" s="1013"/>
      <c r="EI153" s="1013"/>
      <c r="EJ153" s="1013"/>
      <c r="EK153" s="1013"/>
      <c r="EL153" s="1013"/>
      <c r="EM153" s="1013"/>
      <c r="EN153" s="1013"/>
      <c r="EO153" s="1013"/>
      <c r="EP153" s="1013"/>
      <c r="EQ153" s="1013"/>
      <c r="ER153" s="1013"/>
      <c r="ES153" s="1013"/>
      <c r="ET153" s="1013"/>
      <c r="EU153" s="1013"/>
      <c r="EV153" s="1013"/>
      <c r="EW153" s="1013"/>
      <c r="EX153" s="1013"/>
      <c r="EY153" s="1013"/>
      <c r="EZ153" s="1013"/>
      <c r="FA153" s="1013"/>
      <c r="FB153" s="1013"/>
      <c r="FC153" s="1013"/>
      <c r="FD153" s="1013"/>
      <c r="FE153" s="1013"/>
      <c r="FF153" s="1013"/>
      <c r="FG153" s="1013"/>
      <c r="FH153" s="1013"/>
      <c r="FI153" s="1013"/>
      <c r="FJ153" s="1013"/>
      <c r="FK153" s="1013"/>
      <c r="FL153" s="1013"/>
      <c r="FM153" s="1013"/>
      <c r="FN153" s="1013"/>
      <c r="FO153" s="1013"/>
      <c r="FP153" s="1013"/>
      <c r="FQ153" s="1013"/>
      <c r="FR153" s="1013"/>
      <c r="FS153" s="1013"/>
      <c r="FT153" s="1013"/>
      <c r="FU153" s="1013"/>
      <c r="FV153" s="1013"/>
      <c r="FW153" s="1013"/>
      <c r="FX153" s="1013"/>
      <c r="FY153" s="1013"/>
      <c r="FZ153" s="1013"/>
      <c r="GA153" s="1013"/>
      <c r="GB153" s="1013"/>
      <c r="GC153" s="1013"/>
      <c r="GD153" s="1013"/>
      <c r="GE153" s="1013"/>
      <c r="GF153" s="1013"/>
      <c r="GG153" s="1013"/>
      <c r="GH153" s="1013"/>
      <c r="GI153" s="1013"/>
      <c r="GJ153" s="1013"/>
      <c r="GK153" s="1013"/>
      <c r="GL153" s="1013"/>
      <c r="GM153" s="1013"/>
      <c r="GN153" s="1013"/>
      <c r="GO153" s="1013"/>
      <c r="GP153" s="1013"/>
      <c r="GQ153" s="1013"/>
      <c r="GR153" s="1013"/>
      <c r="GS153" s="1013"/>
      <c r="GT153" s="1013"/>
      <c r="GU153" s="1013"/>
      <c r="GV153" s="1013"/>
      <c r="GW153" s="1013"/>
      <c r="GX153" s="1013"/>
      <c r="GY153" s="1013"/>
      <c r="GZ153" s="1013"/>
      <c r="HA153" s="1013"/>
    </row>
    <row r="154" spans="1:209" s="1003" customFormat="1" ht="24.75" customHeight="1">
      <c r="A154" s="950"/>
      <c r="B154" s="952"/>
      <c r="C154" s="964"/>
      <c r="D154" s="963"/>
      <c r="E154" s="963"/>
      <c r="F154" s="963"/>
      <c r="G154" s="963"/>
      <c r="H154" s="963"/>
      <c r="I154" s="963"/>
      <c r="J154" s="963"/>
      <c r="K154" s="963"/>
      <c r="L154" s="963"/>
      <c r="M154" s="963"/>
      <c r="N154" s="963"/>
      <c r="O154" s="963"/>
      <c r="P154" s="963"/>
      <c r="Q154" s="966" t="s">
        <v>1220</v>
      </c>
      <c r="R154" s="963"/>
      <c r="S154" s="963"/>
      <c r="T154" s="963"/>
      <c r="U154" s="963"/>
      <c r="V154" s="963"/>
      <c r="W154" s="963"/>
      <c r="X154" s="963"/>
      <c r="Y154" s="963"/>
      <c r="Z154" s="963"/>
      <c r="AA154" s="963"/>
      <c r="AB154" s="963"/>
      <c r="AC154" s="963"/>
      <c r="AD154" s="963"/>
      <c r="AE154" s="963"/>
      <c r="AF154" s="963"/>
      <c r="AG154" s="963"/>
      <c r="AH154" s="963"/>
      <c r="AI154" s="1022"/>
      <c r="AJ154" s="1023"/>
      <c r="AK154" s="1021"/>
      <c r="AL154" s="1021"/>
      <c r="AM154" s="1013"/>
      <c r="AN154" s="1013"/>
      <c r="AO154" s="1013"/>
      <c r="AP154" s="1013"/>
      <c r="AQ154" s="1013"/>
      <c r="AR154" s="1013"/>
      <c r="AS154" s="1013"/>
      <c r="AT154" s="1013"/>
      <c r="AU154" s="1013"/>
      <c r="AV154" s="1013"/>
      <c r="AW154" s="1013"/>
      <c r="AX154" s="1013"/>
      <c r="AY154" s="1013"/>
      <c r="AZ154" s="1013"/>
      <c r="BA154" s="1013"/>
      <c r="BB154" s="1013"/>
      <c r="BC154" s="1013"/>
      <c r="BD154" s="1013"/>
      <c r="BE154" s="1013"/>
      <c r="BF154" s="1013"/>
      <c r="BG154" s="1013"/>
      <c r="BH154" s="1013"/>
      <c r="BI154" s="1013"/>
      <c r="BJ154" s="1013"/>
      <c r="BK154" s="1013"/>
      <c r="BL154" s="1013"/>
      <c r="BM154" s="1013"/>
      <c r="BN154" s="1013"/>
      <c r="BO154" s="1013"/>
      <c r="BP154" s="1013"/>
      <c r="BQ154" s="1013"/>
      <c r="BR154" s="1013"/>
      <c r="BS154" s="1013"/>
      <c r="BT154" s="1013"/>
      <c r="BU154" s="1013"/>
      <c r="BV154" s="1013"/>
      <c r="BW154" s="1013"/>
      <c r="BX154" s="1013"/>
      <c r="BY154" s="1013"/>
      <c r="BZ154" s="1013"/>
      <c r="CA154" s="1013"/>
      <c r="CB154" s="1013"/>
      <c r="CC154" s="1013"/>
      <c r="CD154" s="1013"/>
      <c r="CE154" s="1013"/>
      <c r="CF154" s="1013"/>
      <c r="CG154" s="1013"/>
      <c r="CH154" s="1013"/>
      <c r="CI154" s="1013"/>
      <c r="CJ154" s="1013"/>
      <c r="CK154" s="1013"/>
      <c r="CL154" s="1013"/>
      <c r="CM154" s="1013"/>
      <c r="CN154" s="1013"/>
      <c r="CO154" s="1013"/>
      <c r="CP154" s="1013"/>
      <c r="CQ154" s="1013"/>
      <c r="CR154" s="1013"/>
      <c r="CS154" s="1013"/>
      <c r="CT154" s="1013"/>
      <c r="CU154" s="1013"/>
      <c r="CV154" s="1013"/>
      <c r="CW154" s="1013"/>
      <c r="CX154" s="1013"/>
      <c r="CY154" s="1013"/>
      <c r="CZ154" s="1013"/>
      <c r="DA154" s="1013"/>
      <c r="DB154" s="1013"/>
      <c r="DC154" s="1013"/>
      <c r="DD154" s="1013"/>
      <c r="DE154" s="1013"/>
      <c r="DF154" s="1013"/>
      <c r="DG154" s="1013"/>
      <c r="DH154" s="1013"/>
      <c r="DI154" s="1013"/>
      <c r="DJ154" s="1013"/>
      <c r="DK154" s="1013"/>
      <c r="DL154" s="1013"/>
      <c r="DM154" s="1013"/>
      <c r="DN154" s="1013"/>
      <c r="DO154" s="1013"/>
      <c r="DP154" s="1013"/>
      <c r="DQ154" s="1013"/>
      <c r="DR154" s="1013"/>
      <c r="DS154" s="1013"/>
      <c r="DT154" s="1013"/>
      <c r="DU154" s="1013"/>
      <c r="DV154" s="1013"/>
      <c r="DW154" s="1013"/>
      <c r="DX154" s="1013"/>
      <c r="DY154" s="1013"/>
      <c r="DZ154" s="1013"/>
      <c r="EA154" s="1013"/>
      <c r="EB154" s="1013"/>
      <c r="EC154" s="1013"/>
      <c r="ED154" s="1013"/>
      <c r="EE154" s="1013"/>
      <c r="EF154" s="1013"/>
      <c r="EG154" s="1013"/>
      <c r="EH154" s="1013"/>
      <c r="EI154" s="1013"/>
      <c r="EJ154" s="1013"/>
      <c r="EK154" s="1013"/>
      <c r="EL154" s="1013"/>
      <c r="EM154" s="1013"/>
      <c r="EN154" s="1013"/>
      <c r="EO154" s="1013"/>
      <c r="EP154" s="1013"/>
      <c r="EQ154" s="1013"/>
      <c r="ER154" s="1013"/>
      <c r="ES154" s="1013"/>
      <c r="ET154" s="1013"/>
      <c r="EU154" s="1013"/>
      <c r="EV154" s="1013"/>
      <c r="EW154" s="1013"/>
      <c r="EX154" s="1013"/>
      <c r="EY154" s="1013"/>
      <c r="EZ154" s="1013"/>
      <c r="FA154" s="1013"/>
      <c r="FB154" s="1013"/>
      <c r="FC154" s="1013"/>
      <c r="FD154" s="1013"/>
      <c r="FE154" s="1013"/>
      <c r="FF154" s="1013"/>
      <c r="FG154" s="1013"/>
      <c r="FH154" s="1013"/>
      <c r="FI154" s="1013"/>
      <c r="FJ154" s="1013"/>
      <c r="FK154" s="1013"/>
      <c r="FL154" s="1013"/>
      <c r="FM154" s="1013"/>
      <c r="FN154" s="1013"/>
      <c r="FO154" s="1013"/>
      <c r="FP154" s="1013"/>
      <c r="FQ154" s="1013"/>
      <c r="FR154" s="1013"/>
      <c r="FS154" s="1013"/>
      <c r="FT154" s="1013"/>
      <c r="FU154" s="1013"/>
      <c r="FV154" s="1013"/>
      <c r="FW154" s="1013"/>
      <c r="FX154" s="1013"/>
      <c r="FY154" s="1013"/>
      <c r="FZ154" s="1013"/>
      <c r="GA154" s="1013"/>
      <c r="GB154" s="1013"/>
      <c r="GC154" s="1013"/>
      <c r="GD154" s="1013"/>
      <c r="GE154" s="1013"/>
      <c r="GF154" s="1013"/>
      <c r="GG154" s="1013"/>
      <c r="GH154" s="1013"/>
      <c r="GI154" s="1013"/>
      <c r="GJ154" s="1013"/>
      <c r="GK154" s="1013"/>
      <c r="GL154" s="1013"/>
      <c r="GM154" s="1013"/>
      <c r="GN154" s="1013"/>
      <c r="GO154" s="1013"/>
      <c r="GP154" s="1013"/>
      <c r="GQ154" s="1013"/>
      <c r="GR154" s="1013"/>
      <c r="GS154" s="1013"/>
      <c r="GT154" s="1013"/>
      <c r="GU154" s="1013"/>
      <c r="GV154" s="1013"/>
      <c r="GW154" s="1013"/>
      <c r="GX154" s="1013"/>
      <c r="GY154" s="1013"/>
      <c r="GZ154" s="1013"/>
      <c r="HA154" s="1013"/>
    </row>
    <row r="155" spans="1:209" s="1003" customFormat="1" ht="30.75" customHeight="1">
      <c r="A155" s="994">
        <v>1</v>
      </c>
      <c r="B155" s="951" t="s">
        <v>820</v>
      </c>
      <c r="C155" s="951" t="s">
        <v>821</v>
      </c>
      <c r="D155" s="953" t="s">
        <v>171</v>
      </c>
      <c r="E155" s="1000">
        <v>1</v>
      </c>
      <c r="F155" s="950" t="s">
        <v>584</v>
      </c>
      <c r="G155" s="994">
        <v>4.6399999999999997</v>
      </c>
      <c r="H155" s="957">
        <v>17697</v>
      </c>
      <c r="I155" s="955">
        <v>2</v>
      </c>
      <c r="J155" s="957">
        <f t="shared" ref="J155:J160" si="152">H155*G155*E155*I155</f>
        <v>164228.15999999997</v>
      </c>
      <c r="K155" s="958">
        <f t="shared" ref="K155:K160" si="153">H155*G155*E155*I155</f>
        <v>164228.15999999997</v>
      </c>
      <c r="L155" s="958"/>
      <c r="M155" s="958"/>
      <c r="N155" s="965"/>
      <c r="O155" s="965"/>
      <c r="P155" s="965"/>
      <c r="Q155" s="965"/>
      <c r="R155" s="965"/>
      <c r="S155" s="965"/>
      <c r="T155" s="965"/>
      <c r="U155" s="965"/>
      <c r="V155" s="965"/>
      <c r="W155" s="965"/>
      <c r="X155" s="965"/>
      <c r="Y155" s="958">
        <v>70</v>
      </c>
      <c r="Z155" s="959">
        <f>Y155*350%</f>
        <v>245</v>
      </c>
      <c r="AA155" s="959">
        <f>K155*Z155%</f>
        <v>402358.99199999997</v>
      </c>
      <c r="AB155" s="961"/>
      <c r="AC155" s="961"/>
      <c r="AD155" s="958">
        <f t="shared" ref="AD155:AD160" si="154">K155*0.1</f>
        <v>16422.815999999999</v>
      </c>
      <c r="AE155" s="958">
        <f t="shared" ref="AE155:AE160" si="155">K155+N155+O155+Q155+S155+U155+W155+X155+AA155+AD155+AC155</f>
        <v>583009.96799999999</v>
      </c>
      <c r="AF155" s="958">
        <f t="shared" ref="AF155:AF160" si="156">AE155*12</f>
        <v>6996119.6160000004</v>
      </c>
      <c r="AG155" s="958">
        <f t="shared" ref="AG155:AG160" si="157">K155</f>
        <v>164228.15999999997</v>
      </c>
      <c r="AH155" s="958">
        <f t="shared" ref="AH155:AH160" si="158">AE155*12+AG155</f>
        <v>7160347.7760000005</v>
      </c>
      <c r="AI155" s="1022"/>
      <c r="AJ155" s="1023"/>
      <c r="AK155" s="1021"/>
      <c r="AL155" s="1021"/>
      <c r="AM155" s="1013"/>
      <c r="AN155" s="1013"/>
      <c r="AO155" s="1013"/>
      <c r="AP155" s="1013"/>
      <c r="AQ155" s="1013"/>
      <c r="AR155" s="1013"/>
      <c r="AS155" s="1013"/>
      <c r="AT155" s="1013"/>
      <c r="AU155" s="1013"/>
      <c r="AV155" s="1013"/>
      <c r="AW155" s="1013"/>
      <c r="AX155" s="1013"/>
      <c r="AY155" s="1013"/>
      <c r="AZ155" s="1013"/>
      <c r="BA155" s="1013"/>
      <c r="BB155" s="1013"/>
      <c r="BC155" s="1013"/>
      <c r="BD155" s="1013"/>
      <c r="BE155" s="1013"/>
      <c r="BF155" s="1013"/>
      <c r="BG155" s="1013"/>
      <c r="BH155" s="1013"/>
      <c r="BI155" s="1013"/>
      <c r="BJ155" s="1013"/>
      <c r="BK155" s="1013"/>
      <c r="BL155" s="1013"/>
      <c r="BM155" s="1013"/>
      <c r="BN155" s="1013"/>
      <c r="BO155" s="1013"/>
      <c r="BP155" s="1013"/>
      <c r="BQ155" s="1013"/>
      <c r="BR155" s="1013"/>
      <c r="BS155" s="1013"/>
      <c r="BT155" s="1013"/>
      <c r="BU155" s="1013"/>
      <c r="BV155" s="1013"/>
      <c r="BW155" s="1013"/>
      <c r="BX155" s="1013"/>
      <c r="BY155" s="1013"/>
      <c r="BZ155" s="1013"/>
      <c r="CA155" s="1013"/>
      <c r="CB155" s="1013"/>
      <c r="CC155" s="1013"/>
      <c r="CD155" s="1013"/>
      <c r="CE155" s="1013"/>
      <c r="CF155" s="1013"/>
      <c r="CG155" s="1013"/>
      <c r="CH155" s="1013"/>
      <c r="CI155" s="1013"/>
      <c r="CJ155" s="1013"/>
      <c r="CK155" s="1013"/>
      <c r="CL155" s="1013"/>
      <c r="CM155" s="1013"/>
      <c r="CN155" s="1013"/>
      <c r="CO155" s="1013"/>
      <c r="CP155" s="1013"/>
      <c r="CQ155" s="1013"/>
      <c r="CR155" s="1013"/>
      <c r="CS155" s="1013"/>
      <c r="CT155" s="1013"/>
      <c r="CU155" s="1013"/>
      <c r="CV155" s="1013"/>
      <c r="CW155" s="1013"/>
      <c r="CX155" s="1013"/>
      <c r="CY155" s="1013"/>
      <c r="CZ155" s="1013"/>
      <c r="DA155" s="1013"/>
      <c r="DB155" s="1013"/>
      <c r="DC155" s="1013"/>
      <c r="DD155" s="1013"/>
      <c r="DE155" s="1013"/>
      <c r="DF155" s="1013"/>
      <c r="DG155" s="1013"/>
      <c r="DH155" s="1013"/>
      <c r="DI155" s="1013"/>
      <c r="DJ155" s="1013"/>
      <c r="DK155" s="1013"/>
      <c r="DL155" s="1013"/>
      <c r="DM155" s="1013"/>
      <c r="DN155" s="1013"/>
      <c r="DO155" s="1013"/>
      <c r="DP155" s="1013"/>
      <c r="DQ155" s="1013"/>
      <c r="DR155" s="1013"/>
      <c r="DS155" s="1013"/>
      <c r="DT155" s="1013"/>
      <c r="DU155" s="1013"/>
      <c r="DV155" s="1013"/>
      <c r="DW155" s="1013"/>
      <c r="DX155" s="1013"/>
      <c r="DY155" s="1013"/>
      <c r="DZ155" s="1013"/>
      <c r="EA155" s="1013"/>
      <c r="EB155" s="1013"/>
      <c r="EC155" s="1013"/>
      <c r="ED155" s="1013"/>
      <c r="EE155" s="1013"/>
      <c r="EF155" s="1013"/>
      <c r="EG155" s="1013"/>
      <c r="EH155" s="1013"/>
      <c r="EI155" s="1013"/>
      <c r="EJ155" s="1013"/>
      <c r="EK155" s="1013"/>
      <c r="EL155" s="1013"/>
      <c r="EM155" s="1013"/>
      <c r="EN155" s="1013"/>
      <c r="EO155" s="1013"/>
      <c r="EP155" s="1013"/>
      <c r="EQ155" s="1013"/>
      <c r="ER155" s="1013"/>
      <c r="ES155" s="1013"/>
      <c r="ET155" s="1013"/>
      <c r="EU155" s="1013"/>
      <c r="EV155" s="1013"/>
      <c r="EW155" s="1013"/>
      <c r="EX155" s="1013"/>
      <c r="EY155" s="1013"/>
      <c r="EZ155" s="1013"/>
      <c r="FA155" s="1013"/>
      <c r="FB155" s="1013"/>
      <c r="FC155" s="1013"/>
      <c r="FD155" s="1013"/>
      <c r="FE155" s="1013"/>
      <c r="FF155" s="1013"/>
      <c r="FG155" s="1013"/>
      <c r="FH155" s="1013"/>
      <c r="FI155" s="1013"/>
      <c r="FJ155" s="1013"/>
      <c r="FK155" s="1013"/>
      <c r="FL155" s="1013"/>
      <c r="FM155" s="1013"/>
      <c r="FN155" s="1013"/>
      <c r="FO155" s="1013"/>
      <c r="FP155" s="1013"/>
      <c r="FQ155" s="1013"/>
      <c r="FR155" s="1013"/>
      <c r="FS155" s="1013"/>
      <c r="FT155" s="1013"/>
      <c r="FU155" s="1013"/>
      <c r="FV155" s="1013"/>
      <c r="FW155" s="1013"/>
      <c r="FX155" s="1013"/>
      <c r="FY155" s="1013"/>
      <c r="FZ155" s="1013"/>
      <c r="GA155" s="1013"/>
      <c r="GB155" s="1013"/>
      <c r="GC155" s="1013"/>
      <c r="GD155" s="1013"/>
      <c r="GE155" s="1013"/>
      <c r="GF155" s="1013"/>
      <c r="GG155" s="1013"/>
      <c r="GH155" s="1013"/>
      <c r="GI155" s="1013"/>
      <c r="GJ155" s="1013"/>
      <c r="GK155" s="1013"/>
      <c r="GL155" s="1013"/>
      <c r="GM155" s="1013"/>
      <c r="GN155" s="1013"/>
      <c r="GO155" s="1013"/>
      <c r="GP155" s="1013"/>
      <c r="GQ155" s="1013"/>
      <c r="GR155" s="1013"/>
      <c r="GS155" s="1013"/>
      <c r="GT155" s="1013"/>
      <c r="GU155" s="1013"/>
      <c r="GV155" s="1013"/>
      <c r="GW155" s="1013"/>
      <c r="GX155" s="1013"/>
      <c r="GY155" s="1013"/>
      <c r="GZ155" s="1013"/>
      <c r="HA155" s="1013"/>
    </row>
    <row r="156" spans="1:209" s="1003" customFormat="1" ht="41.25" customHeight="1">
      <c r="A156" s="994">
        <v>2</v>
      </c>
      <c r="B156" s="951" t="s">
        <v>876</v>
      </c>
      <c r="C156" s="951" t="s">
        <v>822</v>
      </c>
      <c r="D156" s="953" t="s">
        <v>173</v>
      </c>
      <c r="E156" s="1000">
        <v>2</v>
      </c>
      <c r="F156" s="950" t="s">
        <v>162</v>
      </c>
      <c r="G156" s="983">
        <v>3.43</v>
      </c>
      <c r="H156" s="957">
        <v>17697</v>
      </c>
      <c r="I156" s="955">
        <v>2</v>
      </c>
      <c r="J156" s="957">
        <f t="shared" si="152"/>
        <v>242802.84000000003</v>
      </c>
      <c r="K156" s="958">
        <f t="shared" si="153"/>
        <v>242802.84000000003</v>
      </c>
      <c r="L156" s="957">
        <f>J156/164*0.5*58</f>
        <v>42934.648536585373</v>
      </c>
      <c r="M156" s="957">
        <f t="shared" ref="M156:M160" si="159">J156/164*0.5*2.67</f>
        <v>1976.4743378048784</v>
      </c>
      <c r="N156" s="958">
        <f>K156/164*0.5*58</f>
        <v>42934.648536585373</v>
      </c>
      <c r="O156" s="958">
        <f>K156/164*0.5*2.67</f>
        <v>1976.4743378048784</v>
      </c>
      <c r="P156" s="965"/>
      <c r="Q156" s="965"/>
      <c r="R156" s="965"/>
      <c r="S156" s="965"/>
      <c r="T156" s="965"/>
      <c r="U156" s="965"/>
      <c r="V156" s="965"/>
      <c r="W156" s="965"/>
      <c r="X156" s="965"/>
      <c r="Y156" s="958">
        <v>30</v>
      </c>
      <c r="Z156" s="959">
        <f t="shared" ref="Z156:Z158" si="160">Y156*350%</f>
        <v>105</v>
      </c>
      <c r="AA156" s="959">
        <f>K156*Z156%</f>
        <v>254942.98200000005</v>
      </c>
      <c r="AB156" s="961"/>
      <c r="AC156" s="961"/>
      <c r="AD156" s="958">
        <f t="shared" si="154"/>
        <v>24280.284000000003</v>
      </c>
      <c r="AE156" s="958">
        <f t="shared" si="155"/>
        <v>566937.22887439036</v>
      </c>
      <c r="AF156" s="958">
        <f t="shared" si="156"/>
        <v>6803246.7464926839</v>
      </c>
      <c r="AG156" s="958">
        <f t="shared" si="157"/>
        <v>242802.84000000003</v>
      </c>
      <c r="AH156" s="958">
        <f t="shared" si="158"/>
        <v>7046049.5864926837</v>
      </c>
      <c r="AI156" s="1022"/>
      <c r="AJ156" s="1023"/>
      <c r="AK156" s="1021"/>
      <c r="AL156" s="1021"/>
      <c r="AM156" s="1013"/>
      <c r="AN156" s="1013"/>
      <c r="AO156" s="1013"/>
      <c r="AP156" s="1013"/>
      <c r="AQ156" s="1013"/>
      <c r="AR156" s="1013"/>
      <c r="AS156" s="1013"/>
      <c r="AT156" s="1013"/>
      <c r="AU156" s="1013"/>
      <c r="AV156" s="1013"/>
      <c r="AW156" s="1013"/>
      <c r="AX156" s="1013"/>
      <c r="AY156" s="1013"/>
      <c r="AZ156" s="1013"/>
      <c r="BA156" s="1013"/>
      <c r="BB156" s="1013"/>
      <c r="BC156" s="1013"/>
      <c r="BD156" s="1013"/>
      <c r="BE156" s="1013"/>
      <c r="BF156" s="1013"/>
      <c r="BG156" s="1013"/>
      <c r="BH156" s="1013"/>
      <c r="BI156" s="1013"/>
      <c r="BJ156" s="1013"/>
      <c r="BK156" s="1013"/>
      <c r="BL156" s="1013"/>
      <c r="BM156" s="1013"/>
      <c r="BN156" s="1013"/>
      <c r="BO156" s="1013"/>
      <c r="BP156" s="1013"/>
      <c r="BQ156" s="1013"/>
      <c r="BR156" s="1013"/>
      <c r="BS156" s="1013"/>
      <c r="BT156" s="1013"/>
      <c r="BU156" s="1013"/>
      <c r="BV156" s="1013"/>
      <c r="BW156" s="1013"/>
      <c r="BX156" s="1013"/>
      <c r="BY156" s="1013"/>
      <c r="BZ156" s="1013"/>
      <c r="CA156" s="1013"/>
      <c r="CB156" s="1013"/>
      <c r="CC156" s="1013"/>
      <c r="CD156" s="1013"/>
      <c r="CE156" s="1013"/>
      <c r="CF156" s="1013"/>
      <c r="CG156" s="1013"/>
      <c r="CH156" s="1013"/>
      <c r="CI156" s="1013"/>
      <c r="CJ156" s="1013"/>
      <c r="CK156" s="1013"/>
      <c r="CL156" s="1013"/>
      <c r="CM156" s="1013"/>
      <c r="CN156" s="1013"/>
      <c r="CO156" s="1013"/>
      <c r="CP156" s="1013"/>
      <c r="CQ156" s="1013"/>
      <c r="CR156" s="1013"/>
      <c r="CS156" s="1013"/>
      <c r="CT156" s="1013"/>
      <c r="CU156" s="1013"/>
      <c r="CV156" s="1013"/>
      <c r="CW156" s="1013"/>
      <c r="CX156" s="1013"/>
      <c r="CY156" s="1013"/>
      <c r="CZ156" s="1013"/>
      <c r="DA156" s="1013"/>
      <c r="DB156" s="1013"/>
      <c r="DC156" s="1013"/>
      <c r="DD156" s="1013"/>
      <c r="DE156" s="1013"/>
      <c r="DF156" s="1013"/>
      <c r="DG156" s="1013"/>
      <c r="DH156" s="1013"/>
      <c r="DI156" s="1013"/>
      <c r="DJ156" s="1013"/>
      <c r="DK156" s="1013"/>
      <c r="DL156" s="1013"/>
      <c r="DM156" s="1013"/>
      <c r="DN156" s="1013"/>
      <c r="DO156" s="1013"/>
      <c r="DP156" s="1013"/>
      <c r="DQ156" s="1013"/>
      <c r="DR156" s="1013"/>
      <c r="DS156" s="1013"/>
      <c r="DT156" s="1013"/>
      <c r="DU156" s="1013"/>
      <c r="DV156" s="1013"/>
      <c r="DW156" s="1013"/>
      <c r="DX156" s="1013"/>
      <c r="DY156" s="1013"/>
      <c r="DZ156" s="1013"/>
      <c r="EA156" s="1013"/>
      <c r="EB156" s="1013"/>
      <c r="EC156" s="1013"/>
      <c r="ED156" s="1013"/>
      <c r="EE156" s="1013"/>
      <c r="EF156" s="1013"/>
      <c r="EG156" s="1013"/>
      <c r="EH156" s="1013"/>
      <c r="EI156" s="1013"/>
      <c r="EJ156" s="1013"/>
      <c r="EK156" s="1013"/>
      <c r="EL156" s="1013"/>
      <c r="EM156" s="1013"/>
      <c r="EN156" s="1013"/>
      <c r="EO156" s="1013"/>
      <c r="EP156" s="1013"/>
      <c r="EQ156" s="1013"/>
      <c r="ER156" s="1013"/>
      <c r="ES156" s="1013"/>
      <c r="ET156" s="1013"/>
      <c r="EU156" s="1013"/>
      <c r="EV156" s="1013"/>
      <c r="EW156" s="1013"/>
      <c r="EX156" s="1013"/>
      <c r="EY156" s="1013"/>
      <c r="EZ156" s="1013"/>
      <c r="FA156" s="1013"/>
      <c r="FB156" s="1013"/>
      <c r="FC156" s="1013"/>
      <c r="FD156" s="1013"/>
      <c r="FE156" s="1013"/>
      <c r="FF156" s="1013"/>
      <c r="FG156" s="1013"/>
      <c r="FH156" s="1013"/>
      <c r="FI156" s="1013"/>
      <c r="FJ156" s="1013"/>
      <c r="FK156" s="1013"/>
      <c r="FL156" s="1013"/>
      <c r="FM156" s="1013"/>
      <c r="FN156" s="1013"/>
      <c r="FO156" s="1013"/>
      <c r="FP156" s="1013"/>
      <c r="FQ156" s="1013"/>
      <c r="FR156" s="1013"/>
      <c r="FS156" s="1013"/>
      <c r="FT156" s="1013"/>
      <c r="FU156" s="1013"/>
      <c r="FV156" s="1013"/>
      <c r="FW156" s="1013"/>
      <c r="FX156" s="1013"/>
      <c r="FY156" s="1013"/>
      <c r="FZ156" s="1013"/>
      <c r="GA156" s="1013"/>
      <c r="GB156" s="1013"/>
      <c r="GC156" s="1013"/>
      <c r="GD156" s="1013"/>
      <c r="GE156" s="1013"/>
      <c r="GF156" s="1013"/>
      <c r="GG156" s="1013"/>
      <c r="GH156" s="1013"/>
      <c r="GI156" s="1013"/>
      <c r="GJ156" s="1013"/>
      <c r="GK156" s="1013"/>
      <c r="GL156" s="1013"/>
      <c r="GM156" s="1013"/>
      <c r="GN156" s="1013"/>
      <c r="GO156" s="1013"/>
      <c r="GP156" s="1013"/>
      <c r="GQ156" s="1013"/>
      <c r="GR156" s="1013"/>
      <c r="GS156" s="1013"/>
      <c r="GT156" s="1013"/>
      <c r="GU156" s="1013"/>
      <c r="GV156" s="1013"/>
      <c r="GW156" s="1013"/>
      <c r="GX156" s="1013"/>
      <c r="GY156" s="1013"/>
      <c r="GZ156" s="1013"/>
      <c r="HA156" s="1013"/>
    </row>
    <row r="157" spans="1:209" s="1003" customFormat="1" ht="43.5" customHeight="1">
      <c r="A157" s="994">
        <v>3</v>
      </c>
      <c r="B157" s="951" t="s">
        <v>824</v>
      </c>
      <c r="C157" s="951" t="s">
        <v>823</v>
      </c>
      <c r="D157" s="953" t="s">
        <v>173</v>
      </c>
      <c r="E157" s="1000">
        <v>1</v>
      </c>
      <c r="F157" s="950" t="s">
        <v>167</v>
      </c>
      <c r="G157" s="983">
        <v>3.5</v>
      </c>
      <c r="H157" s="957">
        <v>17697</v>
      </c>
      <c r="I157" s="955">
        <v>2</v>
      </c>
      <c r="J157" s="957">
        <f t="shared" si="152"/>
        <v>123879</v>
      </c>
      <c r="K157" s="958">
        <f t="shared" si="153"/>
        <v>123879</v>
      </c>
      <c r="L157" s="957">
        <f>J157/164*0.5*58</f>
        <v>21905.432926829268</v>
      </c>
      <c r="M157" s="957">
        <f t="shared" si="159"/>
        <v>1008.4052743902439</v>
      </c>
      <c r="N157" s="958">
        <f t="shared" ref="N157:N159" si="161">K157/164*0.5*58</f>
        <v>21905.432926829268</v>
      </c>
      <c r="O157" s="958">
        <f>K157/164*0.5*2.67</f>
        <v>1008.4052743902439</v>
      </c>
      <c r="P157" s="965"/>
      <c r="Q157" s="965"/>
      <c r="R157" s="965"/>
      <c r="S157" s="965"/>
      <c r="T157" s="965"/>
      <c r="U157" s="965"/>
      <c r="V157" s="965"/>
      <c r="W157" s="965"/>
      <c r="X157" s="965"/>
      <c r="Y157" s="958">
        <v>30</v>
      </c>
      <c r="Z157" s="959">
        <f t="shared" si="160"/>
        <v>105</v>
      </c>
      <c r="AA157" s="959">
        <f>K157*Z157%</f>
        <v>130072.95000000001</v>
      </c>
      <c r="AB157" s="961"/>
      <c r="AC157" s="961"/>
      <c r="AD157" s="958">
        <f t="shared" si="154"/>
        <v>12387.900000000001</v>
      </c>
      <c r="AE157" s="958">
        <f t="shared" si="155"/>
        <v>289253.68820121954</v>
      </c>
      <c r="AF157" s="958">
        <f t="shared" si="156"/>
        <v>3471044.2584146345</v>
      </c>
      <c r="AG157" s="958">
        <f t="shared" si="157"/>
        <v>123879</v>
      </c>
      <c r="AH157" s="958">
        <f t="shared" si="158"/>
        <v>3594923.2584146345</v>
      </c>
      <c r="AI157" s="1022"/>
      <c r="AJ157" s="1023"/>
      <c r="AK157" s="1021"/>
      <c r="AL157" s="1021"/>
      <c r="AM157" s="1013"/>
      <c r="AN157" s="1013"/>
      <c r="AO157" s="1013"/>
      <c r="AP157" s="1013"/>
      <c r="AQ157" s="1013"/>
      <c r="AR157" s="1013"/>
      <c r="AS157" s="1013"/>
      <c r="AT157" s="1013"/>
      <c r="AU157" s="1013"/>
      <c r="AV157" s="1013"/>
      <c r="AW157" s="1013"/>
      <c r="AX157" s="1013"/>
      <c r="AY157" s="1013"/>
      <c r="AZ157" s="1013"/>
      <c r="BA157" s="1013"/>
      <c r="BB157" s="1013"/>
      <c r="BC157" s="1013"/>
      <c r="BD157" s="1013"/>
      <c r="BE157" s="1013"/>
      <c r="BF157" s="1013"/>
      <c r="BG157" s="1013"/>
      <c r="BH157" s="1013"/>
      <c r="BI157" s="1013"/>
      <c r="BJ157" s="1013"/>
      <c r="BK157" s="1013"/>
      <c r="BL157" s="1013"/>
      <c r="BM157" s="1013"/>
      <c r="BN157" s="1013"/>
      <c r="BO157" s="1013"/>
      <c r="BP157" s="1013"/>
      <c r="BQ157" s="1013"/>
      <c r="BR157" s="1013"/>
      <c r="BS157" s="1013"/>
      <c r="BT157" s="1013"/>
      <c r="BU157" s="1013"/>
      <c r="BV157" s="1013"/>
      <c r="BW157" s="1013"/>
      <c r="BX157" s="1013"/>
      <c r="BY157" s="1013"/>
      <c r="BZ157" s="1013"/>
      <c r="CA157" s="1013"/>
      <c r="CB157" s="1013"/>
      <c r="CC157" s="1013"/>
      <c r="CD157" s="1013"/>
      <c r="CE157" s="1013"/>
      <c r="CF157" s="1013"/>
      <c r="CG157" s="1013"/>
      <c r="CH157" s="1013"/>
      <c r="CI157" s="1013"/>
      <c r="CJ157" s="1013"/>
      <c r="CK157" s="1013"/>
      <c r="CL157" s="1013"/>
      <c r="CM157" s="1013"/>
      <c r="CN157" s="1013"/>
      <c r="CO157" s="1013"/>
      <c r="CP157" s="1013"/>
      <c r="CQ157" s="1013"/>
      <c r="CR157" s="1013"/>
      <c r="CS157" s="1013"/>
      <c r="CT157" s="1013"/>
      <c r="CU157" s="1013"/>
      <c r="CV157" s="1013"/>
      <c r="CW157" s="1013"/>
      <c r="CX157" s="1013"/>
      <c r="CY157" s="1013"/>
      <c r="CZ157" s="1013"/>
      <c r="DA157" s="1013"/>
      <c r="DB157" s="1013"/>
      <c r="DC157" s="1013"/>
      <c r="DD157" s="1013"/>
      <c r="DE157" s="1013"/>
      <c r="DF157" s="1013"/>
      <c r="DG157" s="1013"/>
      <c r="DH157" s="1013"/>
      <c r="DI157" s="1013"/>
      <c r="DJ157" s="1013"/>
      <c r="DK157" s="1013"/>
      <c r="DL157" s="1013"/>
      <c r="DM157" s="1013"/>
      <c r="DN157" s="1013"/>
      <c r="DO157" s="1013"/>
      <c r="DP157" s="1013"/>
      <c r="DQ157" s="1013"/>
      <c r="DR157" s="1013"/>
      <c r="DS157" s="1013"/>
      <c r="DT157" s="1013"/>
      <c r="DU157" s="1013"/>
      <c r="DV157" s="1013"/>
      <c r="DW157" s="1013"/>
      <c r="DX157" s="1013"/>
      <c r="DY157" s="1013"/>
      <c r="DZ157" s="1013"/>
      <c r="EA157" s="1013"/>
      <c r="EB157" s="1013"/>
      <c r="EC157" s="1013"/>
      <c r="ED157" s="1013"/>
      <c r="EE157" s="1013"/>
      <c r="EF157" s="1013"/>
      <c r="EG157" s="1013"/>
      <c r="EH157" s="1013"/>
      <c r="EI157" s="1013"/>
      <c r="EJ157" s="1013"/>
      <c r="EK157" s="1013"/>
      <c r="EL157" s="1013"/>
      <c r="EM157" s="1013"/>
      <c r="EN157" s="1013"/>
      <c r="EO157" s="1013"/>
      <c r="EP157" s="1013"/>
      <c r="EQ157" s="1013"/>
      <c r="ER157" s="1013"/>
      <c r="ES157" s="1013"/>
      <c r="ET157" s="1013"/>
      <c r="EU157" s="1013"/>
      <c r="EV157" s="1013"/>
      <c r="EW157" s="1013"/>
      <c r="EX157" s="1013"/>
      <c r="EY157" s="1013"/>
      <c r="EZ157" s="1013"/>
      <c r="FA157" s="1013"/>
      <c r="FB157" s="1013"/>
      <c r="FC157" s="1013"/>
      <c r="FD157" s="1013"/>
      <c r="FE157" s="1013"/>
      <c r="FF157" s="1013"/>
      <c r="FG157" s="1013"/>
      <c r="FH157" s="1013"/>
      <c r="FI157" s="1013"/>
      <c r="FJ157" s="1013"/>
      <c r="FK157" s="1013"/>
      <c r="FL157" s="1013"/>
      <c r="FM157" s="1013"/>
      <c r="FN157" s="1013"/>
      <c r="FO157" s="1013"/>
      <c r="FP157" s="1013"/>
      <c r="FQ157" s="1013"/>
      <c r="FR157" s="1013"/>
      <c r="FS157" s="1013"/>
      <c r="FT157" s="1013"/>
      <c r="FU157" s="1013"/>
      <c r="FV157" s="1013"/>
      <c r="FW157" s="1013"/>
      <c r="FX157" s="1013"/>
      <c r="FY157" s="1013"/>
      <c r="FZ157" s="1013"/>
      <c r="GA157" s="1013"/>
      <c r="GB157" s="1013"/>
      <c r="GC157" s="1013"/>
      <c r="GD157" s="1013"/>
      <c r="GE157" s="1013"/>
      <c r="GF157" s="1013"/>
      <c r="GG157" s="1013"/>
      <c r="GH157" s="1013"/>
      <c r="GI157" s="1013"/>
      <c r="GJ157" s="1013"/>
      <c r="GK157" s="1013"/>
      <c r="GL157" s="1013"/>
      <c r="GM157" s="1013"/>
      <c r="GN157" s="1013"/>
      <c r="GO157" s="1013"/>
      <c r="GP157" s="1013"/>
      <c r="GQ157" s="1013"/>
      <c r="GR157" s="1013"/>
      <c r="GS157" s="1013"/>
      <c r="GT157" s="1013"/>
      <c r="GU157" s="1013"/>
      <c r="GV157" s="1013"/>
      <c r="GW157" s="1013"/>
      <c r="GX157" s="1013"/>
      <c r="GY157" s="1013"/>
      <c r="GZ157" s="1013"/>
      <c r="HA157" s="1013"/>
    </row>
    <row r="158" spans="1:209" s="1003" customFormat="1" ht="43.5" customHeight="1">
      <c r="A158" s="994">
        <v>4</v>
      </c>
      <c r="B158" s="951" t="s">
        <v>824</v>
      </c>
      <c r="C158" s="951" t="s">
        <v>823</v>
      </c>
      <c r="D158" s="953" t="s">
        <v>173</v>
      </c>
      <c r="E158" s="1000">
        <v>1</v>
      </c>
      <c r="F158" s="950" t="s">
        <v>582</v>
      </c>
      <c r="G158" s="983">
        <v>3.35</v>
      </c>
      <c r="H158" s="957">
        <v>17697</v>
      </c>
      <c r="I158" s="955">
        <v>2</v>
      </c>
      <c r="J158" s="957">
        <f t="shared" si="152"/>
        <v>118569.90000000001</v>
      </c>
      <c r="K158" s="958">
        <f t="shared" si="153"/>
        <v>118569.90000000001</v>
      </c>
      <c r="L158" s="957">
        <f>J158/164*0.5*58</f>
        <v>20966.628658536585</v>
      </c>
      <c r="M158" s="957">
        <f t="shared" si="159"/>
        <v>965.18790548780487</v>
      </c>
      <c r="N158" s="958">
        <f t="shared" si="161"/>
        <v>20966.628658536585</v>
      </c>
      <c r="O158" s="958">
        <f>K158/164*0.5*2.67</f>
        <v>965.18790548780487</v>
      </c>
      <c r="P158" s="965"/>
      <c r="Q158" s="965"/>
      <c r="R158" s="965"/>
      <c r="S158" s="965"/>
      <c r="T158" s="965"/>
      <c r="U158" s="965"/>
      <c r="V158" s="965"/>
      <c r="W158" s="965"/>
      <c r="X158" s="965"/>
      <c r="Y158" s="958">
        <v>30</v>
      </c>
      <c r="Z158" s="959">
        <f t="shared" si="160"/>
        <v>105</v>
      </c>
      <c r="AA158" s="959">
        <f>K158*Z158%</f>
        <v>124498.39500000002</v>
      </c>
      <c r="AB158" s="961"/>
      <c r="AC158" s="961"/>
      <c r="AD158" s="958">
        <f t="shared" si="154"/>
        <v>11856.990000000002</v>
      </c>
      <c r="AE158" s="958">
        <f t="shared" si="155"/>
        <v>276857.1015640244</v>
      </c>
      <c r="AF158" s="958">
        <f t="shared" si="156"/>
        <v>3322285.218768293</v>
      </c>
      <c r="AG158" s="958">
        <f t="shared" si="157"/>
        <v>118569.90000000001</v>
      </c>
      <c r="AH158" s="958">
        <f t="shared" si="158"/>
        <v>3440855.1187682929</v>
      </c>
      <c r="AI158" s="1022"/>
      <c r="AJ158" s="1023"/>
      <c r="AK158" s="1021"/>
      <c r="AL158" s="1021"/>
      <c r="AM158" s="1013"/>
      <c r="AN158" s="1013"/>
      <c r="AO158" s="1013"/>
      <c r="AP158" s="1013"/>
      <c r="AQ158" s="1013"/>
      <c r="AR158" s="1013"/>
      <c r="AS158" s="1013"/>
      <c r="AT158" s="1013"/>
      <c r="AU158" s="1013"/>
      <c r="AV158" s="1013"/>
      <c r="AW158" s="1013"/>
      <c r="AX158" s="1013"/>
      <c r="AY158" s="1013"/>
      <c r="AZ158" s="1013"/>
      <c r="BA158" s="1013"/>
      <c r="BB158" s="1013"/>
      <c r="BC158" s="1013"/>
      <c r="BD158" s="1013"/>
      <c r="BE158" s="1013"/>
      <c r="BF158" s="1013"/>
      <c r="BG158" s="1013"/>
      <c r="BH158" s="1013"/>
      <c r="BI158" s="1013"/>
      <c r="BJ158" s="1013"/>
      <c r="BK158" s="1013"/>
      <c r="BL158" s="1013"/>
      <c r="BM158" s="1013"/>
      <c r="BN158" s="1013"/>
      <c r="BO158" s="1013"/>
      <c r="BP158" s="1013"/>
      <c r="BQ158" s="1013"/>
      <c r="BR158" s="1013"/>
      <c r="BS158" s="1013"/>
      <c r="BT158" s="1013"/>
      <c r="BU158" s="1013"/>
      <c r="BV158" s="1013"/>
      <c r="BW158" s="1013"/>
      <c r="BX158" s="1013"/>
      <c r="BY158" s="1013"/>
      <c r="BZ158" s="1013"/>
      <c r="CA158" s="1013"/>
      <c r="CB158" s="1013"/>
      <c r="CC158" s="1013"/>
      <c r="CD158" s="1013"/>
      <c r="CE158" s="1013"/>
      <c r="CF158" s="1013"/>
      <c r="CG158" s="1013"/>
      <c r="CH158" s="1013"/>
      <c r="CI158" s="1013"/>
      <c r="CJ158" s="1013"/>
      <c r="CK158" s="1013"/>
      <c r="CL158" s="1013"/>
      <c r="CM158" s="1013"/>
      <c r="CN158" s="1013"/>
      <c r="CO158" s="1013"/>
      <c r="CP158" s="1013"/>
      <c r="CQ158" s="1013"/>
      <c r="CR158" s="1013"/>
      <c r="CS158" s="1013"/>
      <c r="CT158" s="1013"/>
      <c r="CU158" s="1013"/>
      <c r="CV158" s="1013"/>
      <c r="CW158" s="1013"/>
      <c r="CX158" s="1013"/>
      <c r="CY158" s="1013"/>
      <c r="CZ158" s="1013"/>
      <c r="DA158" s="1013"/>
      <c r="DB158" s="1013"/>
      <c r="DC158" s="1013"/>
      <c r="DD158" s="1013"/>
      <c r="DE158" s="1013"/>
      <c r="DF158" s="1013"/>
      <c r="DG158" s="1013"/>
      <c r="DH158" s="1013"/>
      <c r="DI158" s="1013"/>
      <c r="DJ158" s="1013"/>
      <c r="DK158" s="1013"/>
      <c r="DL158" s="1013"/>
      <c r="DM158" s="1013"/>
      <c r="DN158" s="1013"/>
      <c r="DO158" s="1013"/>
      <c r="DP158" s="1013"/>
      <c r="DQ158" s="1013"/>
      <c r="DR158" s="1013"/>
      <c r="DS158" s="1013"/>
      <c r="DT158" s="1013"/>
      <c r="DU158" s="1013"/>
      <c r="DV158" s="1013"/>
      <c r="DW158" s="1013"/>
      <c r="DX158" s="1013"/>
      <c r="DY158" s="1013"/>
      <c r="DZ158" s="1013"/>
      <c r="EA158" s="1013"/>
      <c r="EB158" s="1013"/>
      <c r="EC158" s="1013"/>
      <c r="ED158" s="1013"/>
      <c r="EE158" s="1013"/>
      <c r="EF158" s="1013"/>
      <c r="EG158" s="1013"/>
      <c r="EH158" s="1013"/>
      <c r="EI158" s="1013"/>
      <c r="EJ158" s="1013"/>
      <c r="EK158" s="1013"/>
      <c r="EL158" s="1013"/>
      <c r="EM158" s="1013"/>
      <c r="EN158" s="1013"/>
      <c r="EO158" s="1013"/>
      <c r="EP158" s="1013"/>
      <c r="EQ158" s="1013"/>
      <c r="ER158" s="1013"/>
      <c r="ES158" s="1013"/>
      <c r="ET158" s="1013"/>
      <c r="EU158" s="1013"/>
      <c r="EV158" s="1013"/>
      <c r="EW158" s="1013"/>
      <c r="EX158" s="1013"/>
      <c r="EY158" s="1013"/>
      <c r="EZ158" s="1013"/>
      <c r="FA158" s="1013"/>
      <c r="FB158" s="1013"/>
      <c r="FC158" s="1013"/>
      <c r="FD158" s="1013"/>
      <c r="FE158" s="1013"/>
      <c r="FF158" s="1013"/>
      <c r="FG158" s="1013"/>
      <c r="FH158" s="1013"/>
      <c r="FI158" s="1013"/>
      <c r="FJ158" s="1013"/>
      <c r="FK158" s="1013"/>
      <c r="FL158" s="1013"/>
      <c r="FM158" s="1013"/>
      <c r="FN158" s="1013"/>
      <c r="FO158" s="1013"/>
      <c r="FP158" s="1013"/>
      <c r="FQ158" s="1013"/>
      <c r="FR158" s="1013"/>
      <c r="FS158" s="1013"/>
      <c r="FT158" s="1013"/>
      <c r="FU158" s="1013"/>
      <c r="FV158" s="1013"/>
      <c r="FW158" s="1013"/>
      <c r="FX158" s="1013"/>
      <c r="FY158" s="1013"/>
      <c r="FZ158" s="1013"/>
      <c r="GA158" s="1013"/>
      <c r="GB158" s="1013"/>
      <c r="GC158" s="1013"/>
      <c r="GD158" s="1013"/>
      <c r="GE158" s="1013"/>
      <c r="GF158" s="1013"/>
      <c r="GG158" s="1013"/>
      <c r="GH158" s="1013"/>
      <c r="GI158" s="1013"/>
      <c r="GJ158" s="1013"/>
      <c r="GK158" s="1013"/>
      <c r="GL158" s="1013"/>
      <c r="GM158" s="1013"/>
      <c r="GN158" s="1013"/>
      <c r="GO158" s="1013"/>
      <c r="GP158" s="1013"/>
      <c r="GQ158" s="1013"/>
      <c r="GR158" s="1013"/>
      <c r="GS158" s="1013"/>
      <c r="GT158" s="1013"/>
      <c r="GU158" s="1013"/>
      <c r="GV158" s="1013"/>
      <c r="GW158" s="1013"/>
      <c r="GX158" s="1013"/>
      <c r="GY158" s="1013"/>
      <c r="GZ158" s="1013"/>
      <c r="HA158" s="1013"/>
    </row>
    <row r="159" spans="1:209" s="1003" customFormat="1" ht="24.75" customHeight="1">
      <c r="A159" s="994">
        <v>5</v>
      </c>
      <c r="B159" s="951" t="s">
        <v>825</v>
      </c>
      <c r="C159" s="951" t="s">
        <v>826</v>
      </c>
      <c r="D159" s="994">
        <v>2</v>
      </c>
      <c r="E159" s="1000">
        <v>3</v>
      </c>
      <c r="F159" s="955" t="s">
        <v>827</v>
      </c>
      <c r="G159" s="953">
        <v>2.84</v>
      </c>
      <c r="H159" s="957">
        <v>17697</v>
      </c>
      <c r="I159" s="955">
        <v>2</v>
      </c>
      <c r="J159" s="957">
        <f t="shared" si="152"/>
        <v>301556.88</v>
      </c>
      <c r="K159" s="958">
        <f t="shared" si="153"/>
        <v>301556.88</v>
      </c>
      <c r="L159" s="957"/>
      <c r="M159" s="957">
        <f t="shared" si="159"/>
        <v>2454.7465536585364</v>
      </c>
      <c r="N159" s="958">
        <f t="shared" si="161"/>
        <v>53324.082439024387</v>
      </c>
      <c r="O159" s="965"/>
      <c r="P159" s="965"/>
      <c r="Q159" s="965"/>
      <c r="R159" s="965"/>
      <c r="S159" s="965"/>
      <c r="T159" s="965"/>
      <c r="U159" s="965"/>
      <c r="V159" s="965"/>
      <c r="W159" s="965"/>
      <c r="X159" s="965"/>
      <c r="Y159" s="958"/>
      <c r="Z159" s="958"/>
      <c r="AA159" s="959"/>
      <c r="AB159" s="961"/>
      <c r="AC159" s="961"/>
      <c r="AD159" s="958">
        <f t="shared" si="154"/>
        <v>30155.688000000002</v>
      </c>
      <c r="AE159" s="958">
        <f t="shared" si="155"/>
        <v>385036.65043902444</v>
      </c>
      <c r="AF159" s="958">
        <f t="shared" si="156"/>
        <v>4620439.8052682932</v>
      </c>
      <c r="AG159" s="958">
        <f t="shared" si="157"/>
        <v>301556.88</v>
      </c>
      <c r="AH159" s="958">
        <f t="shared" si="158"/>
        <v>4921996.6852682931</v>
      </c>
      <c r="AI159" s="1022"/>
      <c r="AJ159" s="1023"/>
      <c r="AK159" s="1021"/>
      <c r="AL159" s="1021"/>
      <c r="AM159" s="1013"/>
      <c r="AN159" s="1013"/>
      <c r="AO159" s="1013"/>
      <c r="AP159" s="1013"/>
      <c r="AQ159" s="1013"/>
      <c r="AR159" s="1013"/>
      <c r="AS159" s="1013"/>
      <c r="AT159" s="1013"/>
      <c r="AU159" s="1013"/>
      <c r="AV159" s="1013"/>
      <c r="AW159" s="1013"/>
      <c r="AX159" s="1013"/>
      <c r="AY159" s="1013"/>
      <c r="AZ159" s="1013"/>
      <c r="BA159" s="1013"/>
      <c r="BB159" s="1013"/>
      <c r="BC159" s="1013"/>
      <c r="BD159" s="1013"/>
      <c r="BE159" s="1013"/>
      <c r="BF159" s="1013"/>
      <c r="BG159" s="1013"/>
      <c r="BH159" s="1013"/>
      <c r="BI159" s="1013"/>
      <c r="BJ159" s="1013"/>
      <c r="BK159" s="1013"/>
      <c r="BL159" s="1013"/>
      <c r="BM159" s="1013"/>
      <c r="BN159" s="1013"/>
      <c r="BO159" s="1013"/>
      <c r="BP159" s="1013"/>
      <c r="BQ159" s="1013"/>
      <c r="BR159" s="1013"/>
      <c r="BS159" s="1013"/>
      <c r="BT159" s="1013"/>
      <c r="BU159" s="1013"/>
      <c r="BV159" s="1013"/>
      <c r="BW159" s="1013"/>
      <c r="BX159" s="1013"/>
      <c r="BY159" s="1013"/>
      <c r="BZ159" s="1013"/>
      <c r="CA159" s="1013"/>
      <c r="CB159" s="1013"/>
      <c r="CC159" s="1013"/>
      <c r="CD159" s="1013"/>
      <c r="CE159" s="1013"/>
      <c r="CF159" s="1013"/>
      <c r="CG159" s="1013"/>
      <c r="CH159" s="1013"/>
      <c r="CI159" s="1013"/>
      <c r="CJ159" s="1013"/>
      <c r="CK159" s="1013"/>
      <c r="CL159" s="1013"/>
      <c r="CM159" s="1013"/>
      <c r="CN159" s="1013"/>
      <c r="CO159" s="1013"/>
      <c r="CP159" s="1013"/>
      <c r="CQ159" s="1013"/>
      <c r="CR159" s="1013"/>
      <c r="CS159" s="1013"/>
      <c r="CT159" s="1013"/>
      <c r="CU159" s="1013"/>
      <c r="CV159" s="1013"/>
      <c r="CW159" s="1013"/>
      <c r="CX159" s="1013"/>
      <c r="CY159" s="1013"/>
      <c r="CZ159" s="1013"/>
      <c r="DA159" s="1013"/>
      <c r="DB159" s="1013"/>
      <c r="DC159" s="1013"/>
      <c r="DD159" s="1013"/>
      <c r="DE159" s="1013"/>
      <c r="DF159" s="1013"/>
      <c r="DG159" s="1013"/>
      <c r="DH159" s="1013"/>
      <c r="DI159" s="1013"/>
      <c r="DJ159" s="1013"/>
      <c r="DK159" s="1013"/>
      <c r="DL159" s="1013"/>
      <c r="DM159" s="1013"/>
      <c r="DN159" s="1013"/>
      <c r="DO159" s="1013"/>
      <c r="DP159" s="1013"/>
      <c r="DQ159" s="1013"/>
      <c r="DR159" s="1013"/>
      <c r="DS159" s="1013"/>
      <c r="DT159" s="1013"/>
      <c r="DU159" s="1013"/>
      <c r="DV159" s="1013"/>
      <c r="DW159" s="1013"/>
      <c r="DX159" s="1013"/>
      <c r="DY159" s="1013"/>
      <c r="DZ159" s="1013"/>
      <c r="EA159" s="1013"/>
      <c r="EB159" s="1013"/>
      <c r="EC159" s="1013"/>
      <c r="ED159" s="1013"/>
      <c r="EE159" s="1013"/>
      <c r="EF159" s="1013"/>
      <c r="EG159" s="1013"/>
      <c r="EH159" s="1013"/>
      <c r="EI159" s="1013"/>
      <c r="EJ159" s="1013"/>
      <c r="EK159" s="1013"/>
      <c r="EL159" s="1013"/>
      <c r="EM159" s="1013"/>
      <c r="EN159" s="1013"/>
      <c r="EO159" s="1013"/>
      <c r="EP159" s="1013"/>
      <c r="EQ159" s="1013"/>
      <c r="ER159" s="1013"/>
      <c r="ES159" s="1013"/>
      <c r="ET159" s="1013"/>
      <c r="EU159" s="1013"/>
      <c r="EV159" s="1013"/>
      <c r="EW159" s="1013"/>
      <c r="EX159" s="1013"/>
      <c r="EY159" s="1013"/>
      <c r="EZ159" s="1013"/>
      <c r="FA159" s="1013"/>
      <c r="FB159" s="1013"/>
      <c r="FC159" s="1013"/>
      <c r="FD159" s="1013"/>
      <c r="FE159" s="1013"/>
      <c r="FF159" s="1013"/>
      <c r="FG159" s="1013"/>
      <c r="FH159" s="1013"/>
      <c r="FI159" s="1013"/>
      <c r="FJ159" s="1013"/>
      <c r="FK159" s="1013"/>
      <c r="FL159" s="1013"/>
      <c r="FM159" s="1013"/>
      <c r="FN159" s="1013"/>
      <c r="FO159" s="1013"/>
      <c r="FP159" s="1013"/>
      <c r="FQ159" s="1013"/>
      <c r="FR159" s="1013"/>
      <c r="FS159" s="1013"/>
      <c r="FT159" s="1013"/>
      <c r="FU159" s="1013"/>
      <c r="FV159" s="1013"/>
      <c r="FW159" s="1013"/>
      <c r="FX159" s="1013"/>
      <c r="FY159" s="1013"/>
      <c r="FZ159" s="1013"/>
      <c r="GA159" s="1013"/>
      <c r="GB159" s="1013"/>
      <c r="GC159" s="1013"/>
      <c r="GD159" s="1013"/>
      <c r="GE159" s="1013"/>
      <c r="GF159" s="1013"/>
      <c r="GG159" s="1013"/>
      <c r="GH159" s="1013"/>
      <c r="GI159" s="1013"/>
      <c r="GJ159" s="1013"/>
      <c r="GK159" s="1013"/>
      <c r="GL159" s="1013"/>
      <c r="GM159" s="1013"/>
      <c r="GN159" s="1013"/>
      <c r="GO159" s="1013"/>
      <c r="GP159" s="1013"/>
      <c r="GQ159" s="1013"/>
      <c r="GR159" s="1013"/>
      <c r="GS159" s="1013"/>
      <c r="GT159" s="1013"/>
      <c r="GU159" s="1013"/>
      <c r="GV159" s="1013"/>
      <c r="GW159" s="1013"/>
      <c r="GX159" s="1013"/>
      <c r="GY159" s="1013"/>
      <c r="GZ159" s="1013"/>
      <c r="HA159" s="1013"/>
    </row>
    <row r="160" spans="1:209" s="1003" customFormat="1" ht="27.75" customHeight="1">
      <c r="A160" s="994">
        <v>6</v>
      </c>
      <c r="B160" s="951" t="s">
        <v>828</v>
      </c>
      <c r="C160" s="952" t="s">
        <v>714</v>
      </c>
      <c r="D160" s="994">
        <v>4</v>
      </c>
      <c r="E160" s="1000">
        <v>4</v>
      </c>
      <c r="F160" s="955" t="s">
        <v>777</v>
      </c>
      <c r="G160" s="953">
        <v>2.9</v>
      </c>
      <c r="H160" s="957">
        <v>17697</v>
      </c>
      <c r="I160" s="955">
        <v>2</v>
      </c>
      <c r="J160" s="957">
        <f t="shared" si="152"/>
        <v>410570.39999999997</v>
      </c>
      <c r="K160" s="958">
        <f t="shared" si="153"/>
        <v>410570.39999999997</v>
      </c>
      <c r="L160" s="957">
        <f>J160/164*0.5*58</f>
        <v>72600.863414634136</v>
      </c>
      <c r="M160" s="957">
        <f t="shared" si="159"/>
        <v>3342.1431951219506</v>
      </c>
      <c r="N160" s="958">
        <f>K160/164*0.5*58</f>
        <v>72600.863414634136</v>
      </c>
      <c r="O160" s="958">
        <f>K160/164*0.5*2.67</f>
        <v>3342.1431951219506</v>
      </c>
      <c r="P160" s="965"/>
      <c r="Q160" s="965"/>
      <c r="R160" s="965"/>
      <c r="S160" s="965"/>
      <c r="T160" s="958">
        <v>30</v>
      </c>
      <c r="U160" s="958">
        <f>E160*H160*T160%</f>
        <v>21236.399999999998</v>
      </c>
      <c r="V160" s="965"/>
      <c r="W160" s="965"/>
      <c r="X160" s="965"/>
      <c r="Y160" s="965"/>
      <c r="Z160" s="965"/>
      <c r="AA160" s="961"/>
      <c r="AB160" s="961"/>
      <c r="AC160" s="961"/>
      <c r="AD160" s="958">
        <f t="shared" si="154"/>
        <v>41057.040000000001</v>
      </c>
      <c r="AE160" s="958">
        <f t="shared" si="155"/>
        <v>548806.84660975612</v>
      </c>
      <c r="AF160" s="958">
        <f t="shared" si="156"/>
        <v>6585682.1593170734</v>
      </c>
      <c r="AG160" s="958">
        <f t="shared" si="157"/>
        <v>410570.39999999997</v>
      </c>
      <c r="AH160" s="958">
        <f t="shared" si="158"/>
        <v>6996252.5593170738</v>
      </c>
      <c r="AI160" s="1022"/>
      <c r="AJ160" s="1023"/>
      <c r="AK160" s="1021"/>
      <c r="AL160" s="1021"/>
      <c r="AM160" s="1013"/>
      <c r="AN160" s="1013"/>
      <c r="AO160" s="1013"/>
      <c r="AP160" s="1013"/>
      <c r="AQ160" s="1013"/>
      <c r="AR160" s="1013"/>
      <c r="AS160" s="1013"/>
      <c r="AT160" s="1013"/>
      <c r="AU160" s="1013"/>
      <c r="AV160" s="1013"/>
      <c r="AW160" s="1013"/>
      <c r="AX160" s="1013"/>
      <c r="AY160" s="1013"/>
      <c r="AZ160" s="1013"/>
      <c r="BA160" s="1013"/>
      <c r="BB160" s="1013"/>
      <c r="BC160" s="1013"/>
      <c r="BD160" s="1013"/>
      <c r="BE160" s="1013"/>
      <c r="BF160" s="1013"/>
      <c r="BG160" s="1013"/>
      <c r="BH160" s="1013"/>
      <c r="BI160" s="1013"/>
      <c r="BJ160" s="1013"/>
      <c r="BK160" s="1013"/>
      <c r="BL160" s="1013"/>
      <c r="BM160" s="1013"/>
      <c r="BN160" s="1013"/>
      <c r="BO160" s="1013"/>
      <c r="BP160" s="1013"/>
      <c r="BQ160" s="1013"/>
      <c r="BR160" s="1013"/>
      <c r="BS160" s="1013"/>
      <c r="BT160" s="1013"/>
      <c r="BU160" s="1013"/>
      <c r="BV160" s="1013"/>
      <c r="BW160" s="1013"/>
      <c r="BX160" s="1013"/>
      <c r="BY160" s="1013"/>
      <c r="BZ160" s="1013"/>
      <c r="CA160" s="1013"/>
      <c r="CB160" s="1013"/>
      <c r="CC160" s="1013"/>
      <c r="CD160" s="1013"/>
      <c r="CE160" s="1013"/>
      <c r="CF160" s="1013"/>
      <c r="CG160" s="1013"/>
      <c r="CH160" s="1013"/>
      <c r="CI160" s="1013"/>
      <c r="CJ160" s="1013"/>
      <c r="CK160" s="1013"/>
      <c r="CL160" s="1013"/>
      <c r="CM160" s="1013"/>
      <c r="CN160" s="1013"/>
      <c r="CO160" s="1013"/>
      <c r="CP160" s="1013"/>
      <c r="CQ160" s="1013"/>
      <c r="CR160" s="1013"/>
      <c r="CS160" s="1013"/>
      <c r="CT160" s="1013"/>
      <c r="CU160" s="1013"/>
      <c r="CV160" s="1013"/>
      <c r="CW160" s="1013"/>
      <c r="CX160" s="1013"/>
      <c r="CY160" s="1013"/>
      <c r="CZ160" s="1013"/>
      <c r="DA160" s="1013"/>
      <c r="DB160" s="1013"/>
      <c r="DC160" s="1013"/>
      <c r="DD160" s="1013"/>
      <c r="DE160" s="1013"/>
      <c r="DF160" s="1013"/>
      <c r="DG160" s="1013"/>
      <c r="DH160" s="1013"/>
      <c r="DI160" s="1013"/>
      <c r="DJ160" s="1013"/>
      <c r="DK160" s="1013"/>
      <c r="DL160" s="1013"/>
      <c r="DM160" s="1013"/>
      <c r="DN160" s="1013"/>
      <c r="DO160" s="1013"/>
      <c r="DP160" s="1013"/>
      <c r="DQ160" s="1013"/>
      <c r="DR160" s="1013"/>
      <c r="DS160" s="1013"/>
      <c r="DT160" s="1013"/>
      <c r="DU160" s="1013"/>
      <c r="DV160" s="1013"/>
      <c r="DW160" s="1013"/>
      <c r="DX160" s="1013"/>
      <c r="DY160" s="1013"/>
      <c r="DZ160" s="1013"/>
      <c r="EA160" s="1013"/>
      <c r="EB160" s="1013"/>
      <c r="EC160" s="1013"/>
      <c r="ED160" s="1013"/>
      <c r="EE160" s="1013"/>
      <c r="EF160" s="1013"/>
      <c r="EG160" s="1013"/>
      <c r="EH160" s="1013"/>
      <c r="EI160" s="1013"/>
      <c r="EJ160" s="1013"/>
      <c r="EK160" s="1013"/>
      <c r="EL160" s="1013"/>
      <c r="EM160" s="1013"/>
      <c r="EN160" s="1013"/>
      <c r="EO160" s="1013"/>
      <c r="EP160" s="1013"/>
      <c r="EQ160" s="1013"/>
      <c r="ER160" s="1013"/>
      <c r="ES160" s="1013"/>
      <c r="ET160" s="1013"/>
      <c r="EU160" s="1013"/>
      <c r="EV160" s="1013"/>
      <c r="EW160" s="1013"/>
      <c r="EX160" s="1013"/>
      <c r="EY160" s="1013"/>
      <c r="EZ160" s="1013"/>
      <c r="FA160" s="1013"/>
      <c r="FB160" s="1013"/>
      <c r="FC160" s="1013"/>
      <c r="FD160" s="1013"/>
      <c r="FE160" s="1013"/>
      <c r="FF160" s="1013"/>
      <c r="FG160" s="1013"/>
      <c r="FH160" s="1013"/>
      <c r="FI160" s="1013"/>
      <c r="FJ160" s="1013"/>
      <c r="FK160" s="1013"/>
      <c r="FL160" s="1013"/>
      <c r="FM160" s="1013"/>
      <c r="FN160" s="1013"/>
      <c r="FO160" s="1013"/>
      <c r="FP160" s="1013"/>
      <c r="FQ160" s="1013"/>
      <c r="FR160" s="1013"/>
      <c r="FS160" s="1013"/>
      <c r="FT160" s="1013"/>
      <c r="FU160" s="1013"/>
      <c r="FV160" s="1013"/>
      <c r="FW160" s="1013"/>
      <c r="FX160" s="1013"/>
      <c r="FY160" s="1013"/>
      <c r="FZ160" s="1013"/>
      <c r="GA160" s="1013"/>
      <c r="GB160" s="1013"/>
      <c r="GC160" s="1013"/>
      <c r="GD160" s="1013"/>
      <c r="GE160" s="1013"/>
      <c r="GF160" s="1013"/>
      <c r="GG160" s="1013"/>
      <c r="GH160" s="1013"/>
      <c r="GI160" s="1013"/>
      <c r="GJ160" s="1013"/>
      <c r="GK160" s="1013"/>
      <c r="GL160" s="1013"/>
      <c r="GM160" s="1013"/>
      <c r="GN160" s="1013"/>
      <c r="GO160" s="1013"/>
      <c r="GP160" s="1013"/>
      <c r="GQ160" s="1013"/>
      <c r="GR160" s="1013"/>
      <c r="GS160" s="1013"/>
      <c r="GT160" s="1013"/>
      <c r="GU160" s="1013"/>
      <c r="GV160" s="1013"/>
      <c r="GW160" s="1013"/>
      <c r="GX160" s="1013"/>
      <c r="GY160" s="1013"/>
      <c r="GZ160" s="1013"/>
      <c r="HA160" s="1013"/>
    </row>
    <row r="161" spans="1:209" s="1003" customFormat="1" ht="27" customHeight="1">
      <c r="A161" s="998"/>
      <c r="B161" s="1001" t="s">
        <v>627</v>
      </c>
      <c r="C161" s="964"/>
      <c r="D161" s="998"/>
      <c r="E161" s="1004">
        <f>SUM(E155:E160)</f>
        <v>12</v>
      </c>
      <c r="F161" s="998"/>
      <c r="G161" s="998"/>
      <c r="H161" s="998"/>
      <c r="I161" s="998"/>
      <c r="J161" s="1005">
        <f t="shared" ref="J161:O161" si="162">SUM(J155:J160)</f>
        <v>1361607.18</v>
      </c>
      <c r="K161" s="999">
        <f t="shared" si="162"/>
        <v>1361607.18</v>
      </c>
      <c r="L161" s="999">
        <f t="shared" si="162"/>
        <v>158407.57353658538</v>
      </c>
      <c r="M161" s="999">
        <f t="shared" si="162"/>
        <v>9746.9572664634143</v>
      </c>
      <c r="N161" s="999">
        <f t="shared" si="162"/>
        <v>211731.65597560976</v>
      </c>
      <c r="O161" s="999">
        <f t="shared" si="162"/>
        <v>7292.2107128048774</v>
      </c>
      <c r="P161" s="965"/>
      <c r="Q161" s="965"/>
      <c r="R161" s="965"/>
      <c r="S161" s="965"/>
      <c r="T161" s="958"/>
      <c r="U161" s="999">
        <f>SUM(U155:U160)</f>
        <v>21236.399999999998</v>
      </c>
      <c r="V161" s="965"/>
      <c r="W161" s="965"/>
      <c r="X161" s="965"/>
      <c r="Y161" s="965"/>
      <c r="Z161" s="965"/>
      <c r="AA161" s="999">
        <f>SUM(AA155:AA160)</f>
        <v>911873.31900000013</v>
      </c>
      <c r="AB161" s="961"/>
      <c r="AC161" s="961"/>
      <c r="AD161" s="999">
        <f>SUM(AD155:AD160)</f>
        <v>136160.71800000002</v>
      </c>
      <c r="AE161" s="999">
        <f>SUM(AE155:AE160)</f>
        <v>2649901.483688415</v>
      </c>
      <c r="AF161" s="999">
        <f>SUM(AF155:AF160)</f>
        <v>31798817.80426098</v>
      </c>
      <c r="AG161" s="999">
        <f>SUM(AG155:AG160)</f>
        <v>1361607.18</v>
      </c>
      <c r="AH161" s="999">
        <f>SUM(AH155:AH160)</f>
        <v>33160424.98426098</v>
      </c>
      <c r="AI161" s="1022"/>
      <c r="AJ161" s="1023"/>
      <c r="AK161" s="1021"/>
      <c r="AL161" s="1021"/>
      <c r="AM161" s="1013"/>
      <c r="AN161" s="1013"/>
      <c r="AO161" s="1013"/>
      <c r="AP161" s="1013"/>
      <c r="AQ161" s="1013"/>
      <c r="AR161" s="1013"/>
      <c r="AS161" s="1013"/>
      <c r="AT161" s="1013"/>
      <c r="AU161" s="1013"/>
      <c r="AV161" s="1013"/>
      <c r="AW161" s="1013"/>
      <c r="AX161" s="1013"/>
      <c r="AY161" s="1013"/>
      <c r="AZ161" s="1013"/>
      <c r="BA161" s="1013"/>
      <c r="BB161" s="1013"/>
      <c r="BC161" s="1013"/>
      <c r="BD161" s="1013"/>
      <c r="BE161" s="1013"/>
      <c r="BF161" s="1013"/>
      <c r="BG161" s="1013"/>
      <c r="BH161" s="1013"/>
      <c r="BI161" s="1013"/>
      <c r="BJ161" s="1013"/>
      <c r="BK161" s="1013"/>
      <c r="BL161" s="1013"/>
      <c r="BM161" s="1013"/>
      <c r="BN161" s="1013"/>
      <c r="BO161" s="1013"/>
      <c r="BP161" s="1013"/>
      <c r="BQ161" s="1013"/>
      <c r="BR161" s="1013"/>
      <c r="BS161" s="1013"/>
      <c r="BT161" s="1013"/>
      <c r="BU161" s="1013"/>
      <c r="BV161" s="1013"/>
      <c r="BW161" s="1013"/>
      <c r="BX161" s="1013"/>
      <c r="BY161" s="1013"/>
      <c r="BZ161" s="1013"/>
      <c r="CA161" s="1013"/>
      <c r="CB161" s="1013"/>
      <c r="CC161" s="1013"/>
      <c r="CD161" s="1013"/>
      <c r="CE161" s="1013"/>
      <c r="CF161" s="1013"/>
      <c r="CG161" s="1013"/>
      <c r="CH161" s="1013"/>
      <c r="CI161" s="1013"/>
      <c r="CJ161" s="1013"/>
      <c r="CK161" s="1013"/>
      <c r="CL161" s="1013"/>
      <c r="CM161" s="1013"/>
      <c r="CN161" s="1013"/>
      <c r="CO161" s="1013"/>
      <c r="CP161" s="1013"/>
      <c r="CQ161" s="1013"/>
      <c r="CR161" s="1013"/>
      <c r="CS161" s="1013"/>
      <c r="CT161" s="1013"/>
      <c r="CU161" s="1013"/>
      <c r="CV161" s="1013"/>
      <c r="CW161" s="1013"/>
      <c r="CX161" s="1013"/>
      <c r="CY161" s="1013"/>
      <c r="CZ161" s="1013"/>
      <c r="DA161" s="1013"/>
      <c r="DB161" s="1013"/>
      <c r="DC161" s="1013"/>
      <c r="DD161" s="1013"/>
      <c r="DE161" s="1013"/>
      <c r="DF161" s="1013"/>
      <c r="DG161" s="1013"/>
      <c r="DH161" s="1013"/>
      <c r="DI161" s="1013"/>
      <c r="DJ161" s="1013"/>
      <c r="DK161" s="1013"/>
      <c r="DL161" s="1013"/>
      <c r="DM161" s="1013"/>
      <c r="DN161" s="1013"/>
      <c r="DO161" s="1013"/>
      <c r="DP161" s="1013"/>
      <c r="DQ161" s="1013"/>
      <c r="DR161" s="1013"/>
      <c r="DS161" s="1013"/>
      <c r="DT161" s="1013"/>
      <c r="DU161" s="1013"/>
      <c r="DV161" s="1013"/>
      <c r="DW161" s="1013"/>
      <c r="DX161" s="1013"/>
      <c r="DY161" s="1013"/>
      <c r="DZ161" s="1013"/>
      <c r="EA161" s="1013"/>
      <c r="EB161" s="1013"/>
      <c r="EC161" s="1013"/>
      <c r="ED161" s="1013"/>
      <c r="EE161" s="1013"/>
      <c r="EF161" s="1013"/>
      <c r="EG161" s="1013"/>
      <c r="EH161" s="1013"/>
      <c r="EI161" s="1013"/>
      <c r="EJ161" s="1013"/>
      <c r="EK161" s="1013"/>
      <c r="EL161" s="1013"/>
      <c r="EM161" s="1013"/>
      <c r="EN161" s="1013"/>
      <c r="EO161" s="1013"/>
      <c r="EP161" s="1013"/>
      <c r="EQ161" s="1013"/>
      <c r="ER161" s="1013"/>
      <c r="ES161" s="1013"/>
      <c r="ET161" s="1013"/>
      <c r="EU161" s="1013"/>
      <c r="EV161" s="1013"/>
      <c r="EW161" s="1013"/>
      <c r="EX161" s="1013"/>
      <c r="EY161" s="1013"/>
      <c r="EZ161" s="1013"/>
      <c r="FA161" s="1013"/>
      <c r="FB161" s="1013"/>
      <c r="FC161" s="1013"/>
      <c r="FD161" s="1013"/>
      <c r="FE161" s="1013"/>
      <c r="FF161" s="1013"/>
      <c r="FG161" s="1013"/>
      <c r="FH161" s="1013"/>
      <c r="FI161" s="1013"/>
      <c r="FJ161" s="1013"/>
      <c r="FK161" s="1013"/>
      <c r="FL161" s="1013"/>
      <c r="FM161" s="1013"/>
      <c r="FN161" s="1013"/>
      <c r="FO161" s="1013"/>
      <c r="FP161" s="1013"/>
      <c r="FQ161" s="1013"/>
      <c r="FR161" s="1013"/>
      <c r="FS161" s="1013"/>
      <c r="FT161" s="1013"/>
      <c r="FU161" s="1013"/>
      <c r="FV161" s="1013"/>
      <c r="FW161" s="1013"/>
      <c r="FX161" s="1013"/>
      <c r="FY161" s="1013"/>
      <c r="FZ161" s="1013"/>
      <c r="GA161" s="1013"/>
      <c r="GB161" s="1013"/>
      <c r="GC161" s="1013"/>
      <c r="GD161" s="1013"/>
      <c r="GE161" s="1013"/>
      <c r="GF161" s="1013"/>
      <c r="GG161" s="1013"/>
      <c r="GH161" s="1013"/>
      <c r="GI161" s="1013"/>
      <c r="GJ161" s="1013"/>
      <c r="GK161" s="1013"/>
      <c r="GL161" s="1013"/>
      <c r="GM161" s="1013"/>
      <c r="GN161" s="1013"/>
      <c r="GO161" s="1013"/>
      <c r="GP161" s="1013"/>
      <c r="GQ161" s="1013"/>
      <c r="GR161" s="1013"/>
      <c r="GS161" s="1013"/>
      <c r="GT161" s="1013"/>
      <c r="GU161" s="1013"/>
      <c r="GV161" s="1013"/>
      <c r="GW161" s="1013"/>
      <c r="GX161" s="1013"/>
      <c r="GY161" s="1013"/>
      <c r="GZ161" s="1013"/>
      <c r="HA161" s="1013"/>
    </row>
    <row r="162" spans="1:209" s="1003" customFormat="1" ht="30.75" customHeight="1">
      <c r="A162" s="950"/>
      <c r="B162" s="952"/>
      <c r="C162" s="964"/>
      <c r="D162" s="963"/>
      <c r="E162" s="963"/>
      <c r="F162" s="963"/>
      <c r="G162" s="963"/>
      <c r="H162" s="963"/>
      <c r="I162" s="963"/>
      <c r="J162" s="963"/>
      <c r="K162" s="963"/>
      <c r="L162" s="963"/>
      <c r="M162" s="963"/>
      <c r="N162" s="963"/>
      <c r="O162" s="963"/>
      <c r="P162" s="963"/>
      <c r="Q162" s="966" t="s">
        <v>1221</v>
      </c>
      <c r="R162" s="963"/>
      <c r="S162" s="963"/>
      <c r="T162" s="963"/>
      <c r="U162" s="963"/>
      <c r="V162" s="963"/>
      <c r="W162" s="963"/>
      <c r="X162" s="963"/>
      <c r="Y162" s="963"/>
      <c r="Z162" s="963"/>
      <c r="AA162" s="963"/>
      <c r="AB162" s="963"/>
      <c r="AC162" s="963"/>
      <c r="AD162" s="963"/>
      <c r="AE162" s="963"/>
      <c r="AF162" s="963"/>
      <c r="AG162" s="963"/>
      <c r="AH162" s="963"/>
      <c r="AI162" s="1022"/>
      <c r="AJ162" s="1023"/>
      <c r="AK162" s="1021"/>
      <c r="AL162" s="1021"/>
      <c r="AM162" s="1013"/>
      <c r="AN162" s="1013"/>
      <c r="AO162" s="1013"/>
      <c r="AP162" s="1013"/>
      <c r="AQ162" s="1013"/>
      <c r="AR162" s="1013"/>
      <c r="AS162" s="1013"/>
      <c r="AT162" s="1013"/>
      <c r="AU162" s="1013"/>
      <c r="AV162" s="1013"/>
      <c r="AW162" s="1013"/>
      <c r="AX162" s="1013"/>
      <c r="AY162" s="1013"/>
      <c r="AZ162" s="1013"/>
      <c r="BA162" s="1013"/>
      <c r="BB162" s="1013"/>
      <c r="BC162" s="1013"/>
      <c r="BD162" s="1013"/>
      <c r="BE162" s="1013"/>
      <c r="BF162" s="1013"/>
      <c r="BG162" s="1013"/>
      <c r="BH162" s="1013"/>
      <c r="BI162" s="1013"/>
      <c r="BJ162" s="1013"/>
      <c r="BK162" s="1013"/>
      <c r="BL162" s="1013"/>
      <c r="BM162" s="1013"/>
      <c r="BN162" s="1013"/>
      <c r="BO162" s="1013"/>
      <c r="BP162" s="1013"/>
      <c r="BQ162" s="1013"/>
      <c r="BR162" s="1013"/>
      <c r="BS162" s="1013"/>
      <c r="BT162" s="1013"/>
      <c r="BU162" s="1013"/>
      <c r="BV162" s="1013"/>
      <c r="BW162" s="1013"/>
      <c r="BX162" s="1013"/>
      <c r="BY162" s="1013"/>
      <c r="BZ162" s="1013"/>
      <c r="CA162" s="1013"/>
      <c r="CB162" s="1013"/>
      <c r="CC162" s="1013"/>
      <c r="CD162" s="1013"/>
      <c r="CE162" s="1013"/>
      <c r="CF162" s="1013"/>
      <c r="CG162" s="1013"/>
      <c r="CH162" s="1013"/>
      <c r="CI162" s="1013"/>
      <c r="CJ162" s="1013"/>
      <c r="CK162" s="1013"/>
      <c r="CL162" s="1013"/>
      <c r="CM162" s="1013"/>
      <c r="CN162" s="1013"/>
      <c r="CO162" s="1013"/>
      <c r="CP162" s="1013"/>
      <c r="CQ162" s="1013"/>
      <c r="CR162" s="1013"/>
      <c r="CS162" s="1013"/>
      <c r="CT162" s="1013"/>
      <c r="CU162" s="1013"/>
      <c r="CV162" s="1013"/>
      <c r="CW162" s="1013"/>
      <c r="CX162" s="1013"/>
      <c r="CY162" s="1013"/>
      <c r="CZ162" s="1013"/>
      <c r="DA162" s="1013"/>
      <c r="DB162" s="1013"/>
      <c r="DC162" s="1013"/>
      <c r="DD162" s="1013"/>
      <c r="DE162" s="1013"/>
      <c r="DF162" s="1013"/>
      <c r="DG162" s="1013"/>
      <c r="DH162" s="1013"/>
      <c r="DI162" s="1013"/>
      <c r="DJ162" s="1013"/>
      <c r="DK162" s="1013"/>
      <c r="DL162" s="1013"/>
      <c r="DM162" s="1013"/>
      <c r="DN162" s="1013"/>
      <c r="DO162" s="1013"/>
      <c r="DP162" s="1013"/>
      <c r="DQ162" s="1013"/>
      <c r="DR162" s="1013"/>
      <c r="DS162" s="1013"/>
      <c r="DT162" s="1013"/>
      <c r="DU162" s="1013"/>
      <c r="DV162" s="1013"/>
      <c r="DW162" s="1013"/>
      <c r="DX162" s="1013"/>
      <c r="DY162" s="1013"/>
      <c r="DZ162" s="1013"/>
      <c r="EA162" s="1013"/>
      <c r="EB162" s="1013"/>
      <c r="EC162" s="1013"/>
      <c r="ED162" s="1013"/>
      <c r="EE162" s="1013"/>
      <c r="EF162" s="1013"/>
      <c r="EG162" s="1013"/>
      <c r="EH162" s="1013"/>
      <c r="EI162" s="1013"/>
      <c r="EJ162" s="1013"/>
      <c r="EK162" s="1013"/>
      <c r="EL162" s="1013"/>
      <c r="EM162" s="1013"/>
      <c r="EN162" s="1013"/>
      <c r="EO162" s="1013"/>
      <c r="EP162" s="1013"/>
      <c r="EQ162" s="1013"/>
      <c r="ER162" s="1013"/>
      <c r="ES162" s="1013"/>
      <c r="ET162" s="1013"/>
      <c r="EU162" s="1013"/>
      <c r="EV162" s="1013"/>
      <c r="EW162" s="1013"/>
      <c r="EX162" s="1013"/>
      <c r="EY162" s="1013"/>
      <c r="EZ162" s="1013"/>
      <c r="FA162" s="1013"/>
      <c r="FB162" s="1013"/>
      <c r="FC162" s="1013"/>
      <c r="FD162" s="1013"/>
      <c r="FE162" s="1013"/>
      <c r="FF162" s="1013"/>
      <c r="FG162" s="1013"/>
      <c r="FH162" s="1013"/>
      <c r="FI162" s="1013"/>
      <c r="FJ162" s="1013"/>
      <c r="FK162" s="1013"/>
      <c r="FL162" s="1013"/>
      <c r="FM162" s="1013"/>
      <c r="FN162" s="1013"/>
      <c r="FO162" s="1013"/>
      <c r="FP162" s="1013"/>
      <c r="FQ162" s="1013"/>
      <c r="FR162" s="1013"/>
      <c r="FS162" s="1013"/>
      <c r="FT162" s="1013"/>
      <c r="FU162" s="1013"/>
      <c r="FV162" s="1013"/>
      <c r="FW162" s="1013"/>
      <c r="FX162" s="1013"/>
      <c r="FY162" s="1013"/>
      <c r="FZ162" s="1013"/>
      <c r="GA162" s="1013"/>
      <c r="GB162" s="1013"/>
      <c r="GC162" s="1013"/>
      <c r="GD162" s="1013"/>
      <c r="GE162" s="1013"/>
      <c r="GF162" s="1013"/>
      <c r="GG162" s="1013"/>
      <c r="GH162" s="1013"/>
      <c r="GI162" s="1013"/>
      <c r="GJ162" s="1013"/>
      <c r="GK162" s="1013"/>
      <c r="GL162" s="1013"/>
      <c r="GM162" s="1013"/>
      <c r="GN162" s="1013"/>
      <c r="GO162" s="1013"/>
      <c r="GP162" s="1013"/>
      <c r="GQ162" s="1013"/>
      <c r="GR162" s="1013"/>
      <c r="GS162" s="1013"/>
      <c r="GT162" s="1013"/>
      <c r="GU162" s="1013"/>
      <c r="GV162" s="1013"/>
      <c r="GW162" s="1013"/>
      <c r="GX162" s="1013"/>
      <c r="GY162" s="1013"/>
      <c r="GZ162" s="1013"/>
      <c r="HA162" s="1013"/>
    </row>
    <row r="163" spans="1:209" s="1003" customFormat="1" ht="29.25" customHeight="1">
      <c r="A163" s="994">
        <v>1</v>
      </c>
      <c r="B163" s="951" t="s">
        <v>829</v>
      </c>
      <c r="C163" s="996" t="s">
        <v>830</v>
      </c>
      <c r="D163" s="953" t="s">
        <v>171</v>
      </c>
      <c r="E163" s="1000">
        <v>1</v>
      </c>
      <c r="F163" s="994" t="s">
        <v>92</v>
      </c>
      <c r="G163" s="994">
        <v>4.8600000000000003</v>
      </c>
      <c r="H163" s="957">
        <v>17697</v>
      </c>
      <c r="I163" s="955">
        <v>2</v>
      </c>
      <c r="J163" s="957">
        <f>H163*G163*E163*I163</f>
        <v>172014.84000000003</v>
      </c>
      <c r="K163" s="958">
        <f t="shared" ref="K163:K171" si="163">H163*G163*E163*I163</f>
        <v>172014.84000000003</v>
      </c>
      <c r="L163" s="958"/>
      <c r="M163" s="958"/>
      <c r="N163" s="965"/>
      <c r="O163" s="965"/>
      <c r="P163" s="965"/>
      <c r="Q163" s="965"/>
      <c r="R163" s="965"/>
      <c r="S163" s="965"/>
      <c r="T163" s="965"/>
      <c r="U163" s="965"/>
      <c r="V163" s="965"/>
      <c r="W163" s="965"/>
      <c r="X163" s="965"/>
      <c r="Y163" s="958">
        <v>80</v>
      </c>
      <c r="Z163" s="959">
        <f>Y163*350%</f>
        <v>280</v>
      </c>
      <c r="AA163" s="959">
        <f>K163*Z163%</f>
        <v>481641.55200000003</v>
      </c>
      <c r="AB163" s="961"/>
      <c r="AC163" s="961"/>
      <c r="AD163" s="958">
        <f t="shared" ref="AD163:AD171" si="164">K163*0.1</f>
        <v>17201.484000000004</v>
      </c>
      <c r="AE163" s="958">
        <f t="shared" ref="AE163:AE171" si="165">K163+N163+O163+Q163+S163+U163+W163+X163+AA163+AD163+AC163</f>
        <v>670857.87600000005</v>
      </c>
      <c r="AF163" s="958">
        <f t="shared" ref="AF163:AF171" si="166">AE163*12</f>
        <v>8050294.5120000001</v>
      </c>
      <c r="AG163" s="958">
        <f t="shared" ref="AG163:AG171" si="167">K163</f>
        <v>172014.84000000003</v>
      </c>
      <c r="AH163" s="958">
        <f t="shared" ref="AH163:AH171" si="168">AE163*12+AG163</f>
        <v>8222309.352</v>
      </c>
      <c r="AI163" s="1022"/>
      <c r="AJ163" s="1023"/>
      <c r="AK163" s="1021"/>
      <c r="AL163" s="1021"/>
      <c r="AM163" s="1013"/>
      <c r="AN163" s="1013"/>
      <c r="AO163" s="1013"/>
      <c r="AP163" s="1013"/>
      <c r="AQ163" s="1013"/>
      <c r="AR163" s="1013"/>
      <c r="AS163" s="1013"/>
      <c r="AT163" s="1013"/>
      <c r="AU163" s="1013"/>
      <c r="AV163" s="1013"/>
      <c r="AW163" s="1013"/>
      <c r="AX163" s="1013"/>
      <c r="AY163" s="1013"/>
      <c r="AZ163" s="1013"/>
      <c r="BA163" s="1013"/>
      <c r="BB163" s="1013"/>
      <c r="BC163" s="1013"/>
      <c r="BD163" s="1013"/>
      <c r="BE163" s="1013"/>
      <c r="BF163" s="1013"/>
      <c r="BG163" s="1013"/>
      <c r="BH163" s="1013"/>
      <c r="BI163" s="1013"/>
      <c r="BJ163" s="1013"/>
      <c r="BK163" s="1013"/>
      <c r="BL163" s="1013"/>
      <c r="BM163" s="1013"/>
      <c r="BN163" s="1013"/>
      <c r="BO163" s="1013"/>
      <c r="BP163" s="1013"/>
      <c r="BQ163" s="1013"/>
      <c r="BR163" s="1013"/>
      <c r="BS163" s="1013"/>
      <c r="BT163" s="1013"/>
      <c r="BU163" s="1013"/>
      <c r="BV163" s="1013"/>
      <c r="BW163" s="1013"/>
      <c r="BX163" s="1013"/>
      <c r="BY163" s="1013"/>
      <c r="BZ163" s="1013"/>
      <c r="CA163" s="1013"/>
      <c r="CB163" s="1013"/>
      <c r="CC163" s="1013"/>
      <c r="CD163" s="1013"/>
      <c r="CE163" s="1013"/>
      <c r="CF163" s="1013"/>
      <c r="CG163" s="1013"/>
      <c r="CH163" s="1013"/>
      <c r="CI163" s="1013"/>
      <c r="CJ163" s="1013"/>
      <c r="CK163" s="1013"/>
      <c r="CL163" s="1013"/>
      <c r="CM163" s="1013"/>
      <c r="CN163" s="1013"/>
      <c r="CO163" s="1013"/>
      <c r="CP163" s="1013"/>
      <c r="CQ163" s="1013"/>
      <c r="CR163" s="1013"/>
      <c r="CS163" s="1013"/>
      <c r="CT163" s="1013"/>
      <c r="CU163" s="1013"/>
      <c r="CV163" s="1013"/>
      <c r="CW163" s="1013"/>
      <c r="CX163" s="1013"/>
      <c r="CY163" s="1013"/>
      <c r="CZ163" s="1013"/>
      <c r="DA163" s="1013"/>
      <c r="DB163" s="1013"/>
      <c r="DC163" s="1013"/>
      <c r="DD163" s="1013"/>
      <c r="DE163" s="1013"/>
      <c r="DF163" s="1013"/>
      <c r="DG163" s="1013"/>
      <c r="DH163" s="1013"/>
      <c r="DI163" s="1013"/>
      <c r="DJ163" s="1013"/>
      <c r="DK163" s="1013"/>
      <c r="DL163" s="1013"/>
      <c r="DM163" s="1013"/>
      <c r="DN163" s="1013"/>
      <c r="DO163" s="1013"/>
      <c r="DP163" s="1013"/>
      <c r="DQ163" s="1013"/>
      <c r="DR163" s="1013"/>
      <c r="DS163" s="1013"/>
      <c r="DT163" s="1013"/>
      <c r="DU163" s="1013"/>
      <c r="DV163" s="1013"/>
      <c r="DW163" s="1013"/>
      <c r="DX163" s="1013"/>
      <c r="DY163" s="1013"/>
      <c r="DZ163" s="1013"/>
      <c r="EA163" s="1013"/>
      <c r="EB163" s="1013"/>
      <c r="EC163" s="1013"/>
      <c r="ED163" s="1013"/>
      <c r="EE163" s="1013"/>
      <c r="EF163" s="1013"/>
      <c r="EG163" s="1013"/>
      <c r="EH163" s="1013"/>
      <c r="EI163" s="1013"/>
      <c r="EJ163" s="1013"/>
      <c r="EK163" s="1013"/>
      <c r="EL163" s="1013"/>
      <c r="EM163" s="1013"/>
      <c r="EN163" s="1013"/>
      <c r="EO163" s="1013"/>
      <c r="EP163" s="1013"/>
      <c r="EQ163" s="1013"/>
      <c r="ER163" s="1013"/>
      <c r="ES163" s="1013"/>
      <c r="ET163" s="1013"/>
      <c r="EU163" s="1013"/>
      <c r="EV163" s="1013"/>
      <c r="EW163" s="1013"/>
      <c r="EX163" s="1013"/>
      <c r="EY163" s="1013"/>
      <c r="EZ163" s="1013"/>
      <c r="FA163" s="1013"/>
      <c r="FB163" s="1013"/>
      <c r="FC163" s="1013"/>
      <c r="FD163" s="1013"/>
      <c r="FE163" s="1013"/>
      <c r="FF163" s="1013"/>
      <c r="FG163" s="1013"/>
      <c r="FH163" s="1013"/>
      <c r="FI163" s="1013"/>
      <c r="FJ163" s="1013"/>
      <c r="FK163" s="1013"/>
      <c r="FL163" s="1013"/>
      <c r="FM163" s="1013"/>
      <c r="FN163" s="1013"/>
      <c r="FO163" s="1013"/>
      <c r="FP163" s="1013"/>
      <c r="FQ163" s="1013"/>
      <c r="FR163" s="1013"/>
      <c r="FS163" s="1013"/>
      <c r="FT163" s="1013"/>
      <c r="FU163" s="1013"/>
      <c r="FV163" s="1013"/>
      <c r="FW163" s="1013"/>
      <c r="FX163" s="1013"/>
      <c r="FY163" s="1013"/>
      <c r="FZ163" s="1013"/>
      <c r="GA163" s="1013"/>
      <c r="GB163" s="1013"/>
      <c r="GC163" s="1013"/>
      <c r="GD163" s="1013"/>
      <c r="GE163" s="1013"/>
      <c r="GF163" s="1013"/>
      <c r="GG163" s="1013"/>
      <c r="GH163" s="1013"/>
      <c r="GI163" s="1013"/>
      <c r="GJ163" s="1013"/>
      <c r="GK163" s="1013"/>
      <c r="GL163" s="1013"/>
      <c r="GM163" s="1013"/>
      <c r="GN163" s="1013"/>
      <c r="GO163" s="1013"/>
      <c r="GP163" s="1013"/>
      <c r="GQ163" s="1013"/>
      <c r="GR163" s="1013"/>
      <c r="GS163" s="1013"/>
      <c r="GT163" s="1013"/>
      <c r="GU163" s="1013"/>
      <c r="GV163" s="1013"/>
      <c r="GW163" s="1013"/>
      <c r="GX163" s="1013"/>
      <c r="GY163" s="1013"/>
      <c r="GZ163" s="1013"/>
      <c r="HA163" s="1013"/>
    </row>
    <row r="164" spans="1:209" s="1003" customFormat="1" ht="42" customHeight="1">
      <c r="A164" s="994">
        <v>2</v>
      </c>
      <c r="B164" s="951" t="s">
        <v>831</v>
      </c>
      <c r="C164" s="951" t="s">
        <v>832</v>
      </c>
      <c r="D164" s="953" t="s">
        <v>73</v>
      </c>
      <c r="E164" s="954">
        <v>1</v>
      </c>
      <c r="F164" s="994" t="s">
        <v>167</v>
      </c>
      <c r="G164" s="956">
        <v>4.43</v>
      </c>
      <c r="H164" s="957">
        <v>17697</v>
      </c>
      <c r="I164" s="955">
        <v>2</v>
      </c>
      <c r="J164" s="958"/>
      <c r="K164" s="958">
        <f t="shared" si="163"/>
        <v>156795.41999999998</v>
      </c>
      <c r="L164" s="958"/>
      <c r="M164" s="958"/>
      <c r="N164" s="958"/>
      <c r="O164" s="958"/>
      <c r="P164" s="958"/>
      <c r="Q164" s="958"/>
      <c r="R164" s="958"/>
      <c r="S164" s="958"/>
      <c r="T164" s="958"/>
      <c r="U164" s="958"/>
      <c r="V164" s="958"/>
      <c r="W164" s="958"/>
      <c r="X164" s="958"/>
      <c r="Y164" s="958">
        <v>30</v>
      </c>
      <c r="Z164" s="959">
        <f t="shared" ref="Z164:Z167" si="169">Y164*350%</f>
        <v>105</v>
      </c>
      <c r="AA164" s="959">
        <f>K164*Z164%</f>
        <v>164635.19099999999</v>
      </c>
      <c r="AB164" s="959"/>
      <c r="AC164" s="959"/>
      <c r="AD164" s="958">
        <f t="shared" si="164"/>
        <v>15679.541999999999</v>
      </c>
      <c r="AE164" s="958">
        <f t="shared" si="165"/>
        <v>337110.15299999999</v>
      </c>
      <c r="AF164" s="958">
        <f t="shared" si="166"/>
        <v>4045321.8360000001</v>
      </c>
      <c r="AG164" s="958">
        <f t="shared" si="167"/>
        <v>156795.41999999998</v>
      </c>
      <c r="AH164" s="958">
        <f t="shared" si="168"/>
        <v>4202117.2560000001</v>
      </c>
      <c r="AI164" s="1022"/>
      <c r="AJ164" s="1023"/>
      <c r="AK164" s="1021"/>
      <c r="AL164" s="1021"/>
      <c r="AM164" s="1013"/>
      <c r="AN164" s="1013"/>
      <c r="AO164" s="1013"/>
      <c r="AP164" s="1013"/>
      <c r="AQ164" s="1013"/>
      <c r="AR164" s="1013"/>
      <c r="AS164" s="1013"/>
      <c r="AT164" s="1013"/>
      <c r="AU164" s="1013"/>
      <c r="AV164" s="1013"/>
      <c r="AW164" s="1013"/>
      <c r="AX164" s="1013"/>
      <c r="AY164" s="1013"/>
      <c r="AZ164" s="1013"/>
      <c r="BA164" s="1013"/>
      <c r="BB164" s="1013"/>
      <c r="BC164" s="1013"/>
      <c r="BD164" s="1013"/>
      <c r="BE164" s="1013"/>
      <c r="BF164" s="1013"/>
      <c r="BG164" s="1013"/>
      <c r="BH164" s="1013"/>
      <c r="BI164" s="1013"/>
      <c r="BJ164" s="1013"/>
      <c r="BK164" s="1013"/>
      <c r="BL164" s="1013"/>
      <c r="BM164" s="1013"/>
      <c r="BN164" s="1013"/>
      <c r="BO164" s="1013"/>
      <c r="BP164" s="1013"/>
      <c r="BQ164" s="1013"/>
      <c r="BR164" s="1013"/>
      <c r="BS164" s="1013"/>
      <c r="BT164" s="1013"/>
      <c r="BU164" s="1013"/>
      <c r="BV164" s="1013"/>
      <c r="BW164" s="1013"/>
      <c r="BX164" s="1013"/>
      <c r="BY164" s="1013"/>
      <c r="BZ164" s="1013"/>
      <c r="CA164" s="1013"/>
      <c r="CB164" s="1013"/>
      <c r="CC164" s="1013"/>
      <c r="CD164" s="1013"/>
      <c r="CE164" s="1013"/>
      <c r="CF164" s="1013"/>
      <c r="CG164" s="1013"/>
      <c r="CH164" s="1013"/>
      <c r="CI164" s="1013"/>
      <c r="CJ164" s="1013"/>
      <c r="CK164" s="1013"/>
      <c r="CL164" s="1013"/>
      <c r="CM164" s="1013"/>
      <c r="CN164" s="1013"/>
      <c r="CO164" s="1013"/>
      <c r="CP164" s="1013"/>
      <c r="CQ164" s="1013"/>
      <c r="CR164" s="1013"/>
      <c r="CS164" s="1013"/>
      <c r="CT164" s="1013"/>
      <c r="CU164" s="1013"/>
      <c r="CV164" s="1013"/>
      <c r="CW164" s="1013"/>
      <c r="CX164" s="1013"/>
      <c r="CY164" s="1013"/>
      <c r="CZ164" s="1013"/>
      <c r="DA164" s="1013"/>
      <c r="DB164" s="1013"/>
      <c r="DC164" s="1013"/>
      <c r="DD164" s="1013"/>
      <c r="DE164" s="1013"/>
      <c r="DF164" s="1013"/>
      <c r="DG164" s="1013"/>
      <c r="DH164" s="1013"/>
      <c r="DI164" s="1013"/>
      <c r="DJ164" s="1013"/>
      <c r="DK164" s="1013"/>
      <c r="DL164" s="1013"/>
      <c r="DM164" s="1013"/>
      <c r="DN164" s="1013"/>
      <c r="DO164" s="1013"/>
      <c r="DP164" s="1013"/>
      <c r="DQ164" s="1013"/>
      <c r="DR164" s="1013"/>
      <c r="DS164" s="1013"/>
      <c r="DT164" s="1013"/>
      <c r="DU164" s="1013"/>
      <c r="DV164" s="1013"/>
      <c r="DW164" s="1013"/>
      <c r="DX164" s="1013"/>
      <c r="DY164" s="1013"/>
      <c r="DZ164" s="1013"/>
      <c r="EA164" s="1013"/>
      <c r="EB164" s="1013"/>
      <c r="EC164" s="1013"/>
      <c r="ED164" s="1013"/>
      <c r="EE164" s="1013"/>
      <c r="EF164" s="1013"/>
      <c r="EG164" s="1013"/>
      <c r="EH164" s="1013"/>
      <c r="EI164" s="1013"/>
      <c r="EJ164" s="1013"/>
      <c r="EK164" s="1013"/>
      <c r="EL164" s="1013"/>
      <c r="EM164" s="1013"/>
      <c r="EN164" s="1013"/>
      <c r="EO164" s="1013"/>
      <c r="EP164" s="1013"/>
      <c r="EQ164" s="1013"/>
      <c r="ER164" s="1013"/>
      <c r="ES164" s="1013"/>
      <c r="ET164" s="1013"/>
      <c r="EU164" s="1013"/>
      <c r="EV164" s="1013"/>
      <c r="EW164" s="1013"/>
      <c r="EX164" s="1013"/>
      <c r="EY164" s="1013"/>
      <c r="EZ164" s="1013"/>
      <c r="FA164" s="1013"/>
      <c r="FB164" s="1013"/>
      <c r="FC164" s="1013"/>
      <c r="FD164" s="1013"/>
      <c r="FE164" s="1013"/>
      <c r="FF164" s="1013"/>
      <c r="FG164" s="1013"/>
      <c r="FH164" s="1013"/>
      <c r="FI164" s="1013"/>
      <c r="FJ164" s="1013"/>
      <c r="FK164" s="1013"/>
      <c r="FL164" s="1013"/>
      <c r="FM164" s="1013"/>
      <c r="FN164" s="1013"/>
      <c r="FO164" s="1013"/>
      <c r="FP164" s="1013"/>
      <c r="FQ164" s="1013"/>
      <c r="FR164" s="1013"/>
      <c r="FS164" s="1013"/>
      <c r="FT164" s="1013"/>
      <c r="FU164" s="1013"/>
      <c r="FV164" s="1013"/>
      <c r="FW164" s="1013"/>
      <c r="FX164" s="1013"/>
      <c r="FY164" s="1013"/>
      <c r="FZ164" s="1013"/>
      <c r="GA164" s="1013"/>
      <c r="GB164" s="1013"/>
      <c r="GC164" s="1013"/>
      <c r="GD164" s="1013"/>
      <c r="GE164" s="1013"/>
      <c r="GF164" s="1013"/>
      <c r="GG164" s="1013"/>
      <c r="GH164" s="1013"/>
      <c r="GI164" s="1013"/>
      <c r="GJ164" s="1013"/>
      <c r="GK164" s="1013"/>
      <c r="GL164" s="1013"/>
      <c r="GM164" s="1013"/>
      <c r="GN164" s="1013"/>
      <c r="GO164" s="1013"/>
      <c r="GP164" s="1013"/>
      <c r="GQ164" s="1013"/>
      <c r="GR164" s="1013"/>
      <c r="GS164" s="1013"/>
      <c r="GT164" s="1013"/>
      <c r="GU164" s="1013"/>
      <c r="GV164" s="1013"/>
      <c r="GW164" s="1013"/>
      <c r="GX164" s="1013"/>
      <c r="GY164" s="1013"/>
      <c r="GZ164" s="1013"/>
      <c r="HA164" s="1013"/>
    </row>
    <row r="165" spans="1:209" s="1003" customFormat="1" ht="30.75" customHeight="1">
      <c r="A165" s="994">
        <v>3</v>
      </c>
      <c r="B165" s="951" t="s">
        <v>834</v>
      </c>
      <c r="C165" s="995" t="s">
        <v>833</v>
      </c>
      <c r="D165" s="953" t="s">
        <v>73</v>
      </c>
      <c r="E165" s="1000">
        <v>2</v>
      </c>
      <c r="F165" s="958" t="s">
        <v>705</v>
      </c>
      <c r="G165" s="956">
        <v>4.2300000000000004</v>
      </c>
      <c r="H165" s="957">
        <v>17697</v>
      </c>
      <c r="I165" s="955">
        <v>2</v>
      </c>
      <c r="J165" s="957">
        <f t="shared" ref="J165:J171" si="170">H165*G165*E165*I165</f>
        <v>299433.24000000005</v>
      </c>
      <c r="K165" s="958">
        <f t="shared" si="163"/>
        <v>299433.24000000005</v>
      </c>
      <c r="L165" s="957">
        <f t="shared" ref="L165:L171" si="171">J165/164*0.5*58</f>
        <v>52948.56073170733</v>
      </c>
      <c r="M165" s="957">
        <f t="shared" ref="M165:M171" si="172">J165/164*0.5*2.67</f>
        <v>2437.4596060975614</v>
      </c>
      <c r="N165" s="958">
        <f t="shared" ref="N165:N170" si="173">K165/164*0.5*58</f>
        <v>52948.56073170733</v>
      </c>
      <c r="O165" s="958">
        <f t="shared" ref="O165:O170" si="174">K165/164*0.5*2.67</f>
        <v>2437.4596060975614</v>
      </c>
      <c r="P165" s="965"/>
      <c r="Q165" s="965"/>
      <c r="R165" s="965"/>
      <c r="S165" s="965"/>
      <c r="T165" s="965"/>
      <c r="U165" s="965"/>
      <c r="V165" s="965"/>
      <c r="W165" s="965"/>
      <c r="X165" s="965"/>
      <c r="Y165" s="958">
        <v>30</v>
      </c>
      <c r="Z165" s="959">
        <f t="shared" si="169"/>
        <v>105</v>
      </c>
      <c r="AA165" s="959">
        <f t="shared" ref="AA165:AA167" si="175">K165*Z165%</f>
        <v>314404.90200000006</v>
      </c>
      <c r="AB165" s="961"/>
      <c r="AC165" s="961"/>
      <c r="AD165" s="958">
        <f t="shared" si="164"/>
        <v>29943.324000000008</v>
      </c>
      <c r="AE165" s="958">
        <f t="shared" si="165"/>
        <v>699167.48633780493</v>
      </c>
      <c r="AF165" s="958">
        <f t="shared" si="166"/>
        <v>8390009.8360536583</v>
      </c>
      <c r="AG165" s="958">
        <f t="shared" si="167"/>
        <v>299433.24000000005</v>
      </c>
      <c r="AH165" s="958">
        <f t="shared" si="168"/>
        <v>8689443.0760536585</v>
      </c>
      <c r="AI165" s="1022"/>
      <c r="AJ165" s="1023"/>
      <c r="AK165" s="1021"/>
      <c r="AL165" s="1021"/>
      <c r="AM165" s="1013"/>
      <c r="AN165" s="1013"/>
      <c r="AO165" s="1013"/>
      <c r="AP165" s="1013"/>
      <c r="AQ165" s="1013"/>
      <c r="AR165" s="1013"/>
      <c r="AS165" s="1013"/>
      <c r="AT165" s="1013"/>
      <c r="AU165" s="1013"/>
      <c r="AV165" s="1013"/>
      <c r="AW165" s="1013"/>
      <c r="AX165" s="1013"/>
      <c r="AY165" s="1013"/>
      <c r="AZ165" s="1013"/>
      <c r="BA165" s="1013"/>
      <c r="BB165" s="1013"/>
      <c r="BC165" s="1013"/>
      <c r="BD165" s="1013"/>
      <c r="BE165" s="1013"/>
      <c r="BF165" s="1013"/>
      <c r="BG165" s="1013"/>
      <c r="BH165" s="1013"/>
      <c r="BI165" s="1013"/>
      <c r="BJ165" s="1013"/>
      <c r="BK165" s="1013"/>
      <c r="BL165" s="1013"/>
      <c r="BM165" s="1013"/>
      <c r="BN165" s="1013"/>
      <c r="BO165" s="1013"/>
      <c r="BP165" s="1013"/>
      <c r="BQ165" s="1013"/>
      <c r="BR165" s="1013"/>
      <c r="BS165" s="1013"/>
      <c r="BT165" s="1013"/>
      <c r="BU165" s="1013"/>
      <c r="BV165" s="1013"/>
      <c r="BW165" s="1013"/>
      <c r="BX165" s="1013"/>
      <c r="BY165" s="1013"/>
      <c r="BZ165" s="1013"/>
      <c r="CA165" s="1013"/>
      <c r="CB165" s="1013"/>
      <c r="CC165" s="1013"/>
      <c r="CD165" s="1013"/>
      <c r="CE165" s="1013"/>
      <c r="CF165" s="1013"/>
      <c r="CG165" s="1013"/>
      <c r="CH165" s="1013"/>
      <c r="CI165" s="1013"/>
      <c r="CJ165" s="1013"/>
      <c r="CK165" s="1013"/>
      <c r="CL165" s="1013"/>
      <c r="CM165" s="1013"/>
      <c r="CN165" s="1013"/>
      <c r="CO165" s="1013"/>
      <c r="CP165" s="1013"/>
      <c r="CQ165" s="1013"/>
      <c r="CR165" s="1013"/>
      <c r="CS165" s="1013"/>
      <c r="CT165" s="1013"/>
      <c r="CU165" s="1013"/>
      <c r="CV165" s="1013"/>
      <c r="CW165" s="1013"/>
      <c r="CX165" s="1013"/>
      <c r="CY165" s="1013"/>
      <c r="CZ165" s="1013"/>
      <c r="DA165" s="1013"/>
      <c r="DB165" s="1013"/>
      <c r="DC165" s="1013"/>
      <c r="DD165" s="1013"/>
      <c r="DE165" s="1013"/>
      <c r="DF165" s="1013"/>
      <c r="DG165" s="1013"/>
      <c r="DH165" s="1013"/>
      <c r="DI165" s="1013"/>
      <c r="DJ165" s="1013"/>
      <c r="DK165" s="1013"/>
      <c r="DL165" s="1013"/>
      <c r="DM165" s="1013"/>
      <c r="DN165" s="1013"/>
      <c r="DO165" s="1013"/>
      <c r="DP165" s="1013"/>
      <c r="DQ165" s="1013"/>
      <c r="DR165" s="1013"/>
      <c r="DS165" s="1013"/>
      <c r="DT165" s="1013"/>
      <c r="DU165" s="1013"/>
      <c r="DV165" s="1013"/>
      <c r="DW165" s="1013"/>
      <c r="DX165" s="1013"/>
      <c r="DY165" s="1013"/>
      <c r="DZ165" s="1013"/>
      <c r="EA165" s="1013"/>
      <c r="EB165" s="1013"/>
      <c r="EC165" s="1013"/>
      <c r="ED165" s="1013"/>
      <c r="EE165" s="1013"/>
      <c r="EF165" s="1013"/>
      <c r="EG165" s="1013"/>
      <c r="EH165" s="1013"/>
      <c r="EI165" s="1013"/>
      <c r="EJ165" s="1013"/>
      <c r="EK165" s="1013"/>
      <c r="EL165" s="1013"/>
      <c r="EM165" s="1013"/>
      <c r="EN165" s="1013"/>
      <c r="EO165" s="1013"/>
      <c r="EP165" s="1013"/>
      <c r="EQ165" s="1013"/>
      <c r="ER165" s="1013"/>
      <c r="ES165" s="1013"/>
      <c r="ET165" s="1013"/>
      <c r="EU165" s="1013"/>
      <c r="EV165" s="1013"/>
      <c r="EW165" s="1013"/>
      <c r="EX165" s="1013"/>
      <c r="EY165" s="1013"/>
      <c r="EZ165" s="1013"/>
      <c r="FA165" s="1013"/>
      <c r="FB165" s="1013"/>
      <c r="FC165" s="1013"/>
      <c r="FD165" s="1013"/>
      <c r="FE165" s="1013"/>
      <c r="FF165" s="1013"/>
      <c r="FG165" s="1013"/>
      <c r="FH165" s="1013"/>
      <c r="FI165" s="1013"/>
      <c r="FJ165" s="1013"/>
      <c r="FK165" s="1013"/>
      <c r="FL165" s="1013"/>
      <c r="FM165" s="1013"/>
      <c r="FN165" s="1013"/>
      <c r="FO165" s="1013"/>
      <c r="FP165" s="1013"/>
      <c r="FQ165" s="1013"/>
      <c r="FR165" s="1013"/>
      <c r="FS165" s="1013"/>
      <c r="FT165" s="1013"/>
      <c r="FU165" s="1013"/>
      <c r="FV165" s="1013"/>
      <c r="FW165" s="1013"/>
      <c r="FX165" s="1013"/>
      <c r="FY165" s="1013"/>
      <c r="FZ165" s="1013"/>
      <c r="GA165" s="1013"/>
      <c r="GB165" s="1013"/>
      <c r="GC165" s="1013"/>
      <c r="GD165" s="1013"/>
      <c r="GE165" s="1013"/>
      <c r="GF165" s="1013"/>
      <c r="GG165" s="1013"/>
      <c r="GH165" s="1013"/>
      <c r="GI165" s="1013"/>
      <c r="GJ165" s="1013"/>
      <c r="GK165" s="1013"/>
      <c r="GL165" s="1013"/>
      <c r="GM165" s="1013"/>
      <c r="GN165" s="1013"/>
      <c r="GO165" s="1013"/>
      <c r="GP165" s="1013"/>
      <c r="GQ165" s="1013"/>
      <c r="GR165" s="1013"/>
      <c r="GS165" s="1013"/>
      <c r="GT165" s="1013"/>
      <c r="GU165" s="1013"/>
      <c r="GV165" s="1013"/>
      <c r="GW165" s="1013"/>
      <c r="GX165" s="1013"/>
      <c r="GY165" s="1013"/>
      <c r="GZ165" s="1013"/>
      <c r="HA165" s="1013"/>
    </row>
    <row r="166" spans="1:209" s="1003" customFormat="1" ht="30.75" customHeight="1">
      <c r="A166" s="994">
        <v>4</v>
      </c>
      <c r="B166" s="951" t="s">
        <v>834</v>
      </c>
      <c r="C166" s="995" t="s">
        <v>833</v>
      </c>
      <c r="D166" s="953" t="s">
        <v>73</v>
      </c>
      <c r="E166" s="1000">
        <v>1</v>
      </c>
      <c r="F166" s="958" t="s">
        <v>707</v>
      </c>
      <c r="G166" s="956">
        <v>4.2699999999999996</v>
      </c>
      <c r="H166" s="957">
        <v>17697</v>
      </c>
      <c r="I166" s="955">
        <v>2</v>
      </c>
      <c r="J166" s="957">
        <f t="shared" si="170"/>
        <v>151132.37999999998</v>
      </c>
      <c r="K166" s="958">
        <f t="shared" si="163"/>
        <v>151132.37999999998</v>
      </c>
      <c r="L166" s="957">
        <f t="shared" si="171"/>
        <v>26724.628170731703</v>
      </c>
      <c r="M166" s="957">
        <f t="shared" si="172"/>
        <v>1230.2544347560972</v>
      </c>
      <c r="N166" s="958">
        <f t="shared" si="173"/>
        <v>26724.628170731703</v>
      </c>
      <c r="O166" s="958">
        <f t="shared" si="174"/>
        <v>1230.2544347560972</v>
      </c>
      <c r="P166" s="965"/>
      <c r="Q166" s="965"/>
      <c r="R166" s="965"/>
      <c r="S166" s="965"/>
      <c r="T166" s="965"/>
      <c r="U166" s="965"/>
      <c r="V166" s="965"/>
      <c r="W166" s="965"/>
      <c r="X166" s="965"/>
      <c r="Y166" s="958">
        <v>30</v>
      </c>
      <c r="Z166" s="959">
        <f t="shared" si="169"/>
        <v>105</v>
      </c>
      <c r="AA166" s="959">
        <f t="shared" si="175"/>
        <v>158688.99899999998</v>
      </c>
      <c r="AB166" s="961"/>
      <c r="AC166" s="961"/>
      <c r="AD166" s="958">
        <f t="shared" si="164"/>
        <v>15113.237999999998</v>
      </c>
      <c r="AE166" s="958">
        <f t="shared" si="165"/>
        <v>352889.4996054878</v>
      </c>
      <c r="AF166" s="958">
        <f t="shared" si="166"/>
        <v>4234673.9952658536</v>
      </c>
      <c r="AG166" s="958">
        <f t="shared" si="167"/>
        <v>151132.37999999998</v>
      </c>
      <c r="AH166" s="958">
        <f t="shared" si="168"/>
        <v>4385806.3752658535</v>
      </c>
      <c r="AI166" s="1022"/>
      <c r="AJ166" s="1023"/>
      <c r="AK166" s="1021"/>
      <c r="AL166" s="1021"/>
      <c r="AM166" s="1013"/>
      <c r="AN166" s="1013"/>
      <c r="AO166" s="1013"/>
      <c r="AP166" s="1013"/>
      <c r="AQ166" s="1013"/>
      <c r="AR166" s="1013"/>
      <c r="AS166" s="1013"/>
      <c r="AT166" s="1013"/>
      <c r="AU166" s="1013"/>
      <c r="AV166" s="1013"/>
      <c r="AW166" s="1013"/>
      <c r="AX166" s="1013"/>
      <c r="AY166" s="1013"/>
      <c r="AZ166" s="1013"/>
      <c r="BA166" s="1013"/>
      <c r="BB166" s="1013"/>
      <c r="BC166" s="1013"/>
      <c r="BD166" s="1013"/>
      <c r="BE166" s="1013"/>
      <c r="BF166" s="1013"/>
      <c r="BG166" s="1013"/>
      <c r="BH166" s="1013"/>
      <c r="BI166" s="1013"/>
      <c r="BJ166" s="1013"/>
      <c r="BK166" s="1013"/>
      <c r="BL166" s="1013"/>
      <c r="BM166" s="1013"/>
      <c r="BN166" s="1013"/>
      <c r="BO166" s="1013"/>
      <c r="BP166" s="1013"/>
      <c r="BQ166" s="1013"/>
      <c r="BR166" s="1013"/>
      <c r="BS166" s="1013"/>
      <c r="BT166" s="1013"/>
      <c r="BU166" s="1013"/>
      <c r="BV166" s="1013"/>
      <c r="BW166" s="1013"/>
      <c r="BX166" s="1013"/>
      <c r="BY166" s="1013"/>
      <c r="BZ166" s="1013"/>
      <c r="CA166" s="1013"/>
      <c r="CB166" s="1013"/>
      <c r="CC166" s="1013"/>
      <c r="CD166" s="1013"/>
      <c r="CE166" s="1013"/>
      <c r="CF166" s="1013"/>
      <c r="CG166" s="1013"/>
      <c r="CH166" s="1013"/>
      <c r="CI166" s="1013"/>
      <c r="CJ166" s="1013"/>
      <c r="CK166" s="1013"/>
      <c r="CL166" s="1013"/>
      <c r="CM166" s="1013"/>
      <c r="CN166" s="1013"/>
      <c r="CO166" s="1013"/>
      <c r="CP166" s="1013"/>
      <c r="CQ166" s="1013"/>
      <c r="CR166" s="1013"/>
      <c r="CS166" s="1013"/>
      <c r="CT166" s="1013"/>
      <c r="CU166" s="1013"/>
      <c r="CV166" s="1013"/>
      <c r="CW166" s="1013"/>
      <c r="CX166" s="1013"/>
      <c r="CY166" s="1013"/>
      <c r="CZ166" s="1013"/>
      <c r="DA166" s="1013"/>
      <c r="DB166" s="1013"/>
      <c r="DC166" s="1013"/>
      <c r="DD166" s="1013"/>
      <c r="DE166" s="1013"/>
      <c r="DF166" s="1013"/>
      <c r="DG166" s="1013"/>
      <c r="DH166" s="1013"/>
      <c r="DI166" s="1013"/>
      <c r="DJ166" s="1013"/>
      <c r="DK166" s="1013"/>
      <c r="DL166" s="1013"/>
      <c r="DM166" s="1013"/>
      <c r="DN166" s="1013"/>
      <c r="DO166" s="1013"/>
      <c r="DP166" s="1013"/>
      <c r="DQ166" s="1013"/>
      <c r="DR166" s="1013"/>
      <c r="DS166" s="1013"/>
      <c r="DT166" s="1013"/>
      <c r="DU166" s="1013"/>
      <c r="DV166" s="1013"/>
      <c r="DW166" s="1013"/>
      <c r="DX166" s="1013"/>
      <c r="DY166" s="1013"/>
      <c r="DZ166" s="1013"/>
      <c r="EA166" s="1013"/>
      <c r="EB166" s="1013"/>
      <c r="EC166" s="1013"/>
      <c r="ED166" s="1013"/>
      <c r="EE166" s="1013"/>
      <c r="EF166" s="1013"/>
      <c r="EG166" s="1013"/>
      <c r="EH166" s="1013"/>
      <c r="EI166" s="1013"/>
      <c r="EJ166" s="1013"/>
      <c r="EK166" s="1013"/>
      <c r="EL166" s="1013"/>
      <c r="EM166" s="1013"/>
      <c r="EN166" s="1013"/>
      <c r="EO166" s="1013"/>
      <c r="EP166" s="1013"/>
      <c r="EQ166" s="1013"/>
      <c r="ER166" s="1013"/>
      <c r="ES166" s="1013"/>
      <c r="ET166" s="1013"/>
      <c r="EU166" s="1013"/>
      <c r="EV166" s="1013"/>
      <c r="EW166" s="1013"/>
      <c r="EX166" s="1013"/>
      <c r="EY166" s="1013"/>
      <c r="EZ166" s="1013"/>
      <c r="FA166" s="1013"/>
      <c r="FB166" s="1013"/>
      <c r="FC166" s="1013"/>
      <c r="FD166" s="1013"/>
      <c r="FE166" s="1013"/>
      <c r="FF166" s="1013"/>
      <c r="FG166" s="1013"/>
      <c r="FH166" s="1013"/>
      <c r="FI166" s="1013"/>
      <c r="FJ166" s="1013"/>
      <c r="FK166" s="1013"/>
      <c r="FL166" s="1013"/>
      <c r="FM166" s="1013"/>
      <c r="FN166" s="1013"/>
      <c r="FO166" s="1013"/>
      <c r="FP166" s="1013"/>
      <c r="FQ166" s="1013"/>
      <c r="FR166" s="1013"/>
      <c r="FS166" s="1013"/>
      <c r="FT166" s="1013"/>
      <c r="FU166" s="1013"/>
      <c r="FV166" s="1013"/>
      <c r="FW166" s="1013"/>
      <c r="FX166" s="1013"/>
      <c r="FY166" s="1013"/>
      <c r="FZ166" s="1013"/>
      <c r="GA166" s="1013"/>
      <c r="GB166" s="1013"/>
      <c r="GC166" s="1013"/>
      <c r="GD166" s="1013"/>
      <c r="GE166" s="1013"/>
      <c r="GF166" s="1013"/>
      <c r="GG166" s="1013"/>
      <c r="GH166" s="1013"/>
      <c r="GI166" s="1013"/>
      <c r="GJ166" s="1013"/>
      <c r="GK166" s="1013"/>
      <c r="GL166" s="1013"/>
      <c r="GM166" s="1013"/>
      <c r="GN166" s="1013"/>
      <c r="GO166" s="1013"/>
      <c r="GP166" s="1013"/>
      <c r="GQ166" s="1013"/>
      <c r="GR166" s="1013"/>
      <c r="GS166" s="1013"/>
      <c r="GT166" s="1013"/>
      <c r="GU166" s="1013"/>
      <c r="GV166" s="1013"/>
      <c r="GW166" s="1013"/>
      <c r="GX166" s="1013"/>
      <c r="GY166" s="1013"/>
      <c r="GZ166" s="1013"/>
      <c r="HA166" s="1013"/>
    </row>
    <row r="167" spans="1:209" s="1003" customFormat="1" ht="30.75" customHeight="1">
      <c r="A167" s="994">
        <v>5</v>
      </c>
      <c r="B167" s="951" t="s">
        <v>834</v>
      </c>
      <c r="C167" s="951" t="s">
        <v>835</v>
      </c>
      <c r="D167" s="953" t="s">
        <v>73</v>
      </c>
      <c r="E167" s="1000">
        <v>1</v>
      </c>
      <c r="F167" s="994" t="s">
        <v>92</v>
      </c>
      <c r="G167" s="956">
        <v>4.46</v>
      </c>
      <c r="H167" s="957">
        <v>17697</v>
      </c>
      <c r="I167" s="955">
        <v>2</v>
      </c>
      <c r="J167" s="957">
        <f t="shared" si="170"/>
        <v>157857.24</v>
      </c>
      <c r="K167" s="958">
        <f t="shared" si="163"/>
        <v>157857.24</v>
      </c>
      <c r="L167" s="957">
        <f t="shared" si="171"/>
        <v>27913.780243902438</v>
      </c>
      <c r="M167" s="957">
        <f t="shared" si="172"/>
        <v>1284.9964353658536</v>
      </c>
      <c r="N167" s="958">
        <f t="shared" si="173"/>
        <v>27913.780243902438</v>
      </c>
      <c r="O167" s="958">
        <f t="shared" si="174"/>
        <v>1284.9964353658536</v>
      </c>
      <c r="P167" s="965"/>
      <c r="Q167" s="965"/>
      <c r="R167" s="965"/>
      <c r="S167" s="965"/>
      <c r="T167" s="965"/>
      <c r="U167" s="965"/>
      <c r="V167" s="965"/>
      <c r="W167" s="965"/>
      <c r="X167" s="965"/>
      <c r="Y167" s="958">
        <v>30</v>
      </c>
      <c r="Z167" s="959">
        <f t="shared" si="169"/>
        <v>105</v>
      </c>
      <c r="AA167" s="959">
        <f t="shared" si="175"/>
        <v>165750.10199999998</v>
      </c>
      <c r="AB167" s="961"/>
      <c r="AC167" s="961"/>
      <c r="AD167" s="958">
        <f t="shared" si="164"/>
        <v>15785.724</v>
      </c>
      <c r="AE167" s="958">
        <f t="shared" si="165"/>
        <v>368591.84267926827</v>
      </c>
      <c r="AF167" s="958">
        <f t="shared" si="166"/>
        <v>4423102.1121512195</v>
      </c>
      <c r="AG167" s="958">
        <f t="shared" si="167"/>
        <v>157857.24</v>
      </c>
      <c r="AH167" s="958">
        <f t="shared" si="168"/>
        <v>4580959.3521512197</v>
      </c>
      <c r="AI167" s="1022"/>
      <c r="AJ167" s="1023"/>
      <c r="AK167" s="1021"/>
      <c r="AL167" s="1021"/>
      <c r="AM167" s="1013"/>
      <c r="AN167" s="1013"/>
      <c r="AO167" s="1013"/>
      <c r="AP167" s="1013"/>
      <c r="AQ167" s="1013"/>
      <c r="AR167" s="1013"/>
      <c r="AS167" s="1013"/>
      <c r="AT167" s="1013"/>
      <c r="AU167" s="1013"/>
      <c r="AV167" s="1013"/>
      <c r="AW167" s="1013"/>
      <c r="AX167" s="1013"/>
      <c r="AY167" s="1013"/>
      <c r="AZ167" s="1013"/>
      <c r="BA167" s="1013"/>
      <c r="BB167" s="1013"/>
      <c r="BC167" s="1013"/>
      <c r="BD167" s="1013"/>
      <c r="BE167" s="1013"/>
      <c r="BF167" s="1013"/>
      <c r="BG167" s="1013"/>
      <c r="BH167" s="1013"/>
      <c r="BI167" s="1013"/>
      <c r="BJ167" s="1013"/>
      <c r="BK167" s="1013"/>
      <c r="BL167" s="1013"/>
      <c r="BM167" s="1013"/>
      <c r="BN167" s="1013"/>
      <c r="BO167" s="1013"/>
      <c r="BP167" s="1013"/>
      <c r="BQ167" s="1013"/>
      <c r="BR167" s="1013"/>
      <c r="BS167" s="1013"/>
      <c r="BT167" s="1013"/>
      <c r="BU167" s="1013"/>
      <c r="BV167" s="1013"/>
      <c r="BW167" s="1013"/>
      <c r="BX167" s="1013"/>
      <c r="BY167" s="1013"/>
      <c r="BZ167" s="1013"/>
      <c r="CA167" s="1013"/>
      <c r="CB167" s="1013"/>
      <c r="CC167" s="1013"/>
      <c r="CD167" s="1013"/>
      <c r="CE167" s="1013"/>
      <c r="CF167" s="1013"/>
      <c r="CG167" s="1013"/>
      <c r="CH167" s="1013"/>
      <c r="CI167" s="1013"/>
      <c r="CJ167" s="1013"/>
      <c r="CK167" s="1013"/>
      <c r="CL167" s="1013"/>
      <c r="CM167" s="1013"/>
      <c r="CN167" s="1013"/>
      <c r="CO167" s="1013"/>
      <c r="CP167" s="1013"/>
      <c r="CQ167" s="1013"/>
      <c r="CR167" s="1013"/>
      <c r="CS167" s="1013"/>
      <c r="CT167" s="1013"/>
      <c r="CU167" s="1013"/>
      <c r="CV167" s="1013"/>
      <c r="CW167" s="1013"/>
      <c r="CX167" s="1013"/>
      <c r="CY167" s="1013"/>
      <c r="CZ167" s="1013"/>
      <c r="DA167" s="1013"/>
      <c r="DB167" s="1013"/>
      <c r="DC167" s="1013"/>
      <c r="DD167" s="1013"/>
      <c r="DE167" s="1013"/>
      <c r="DF167" s="1013"/>
      <c r="DG167" s="1013"/>
      <c r="DH167" s="1013"/>
      <c r="DI167" s="1013"/>
      <c r="DJ167" s="1013"/>
      <c r="DK167" s="1013"/>
      <c r="DL167" s="1013"/>
      <c r="DM167" s="1013"/>
      <c r="DN167" s="1013"/>
      <c r="DO167" s="1013"/>
      <c r="DP167" s="1013"/>
      <c r="DQ167" s="1013"/>
      <c r="DR167" s="1013"/>
      <c r="DS167" s="1013"/>
      <c r="DT167" s="1013"/>
      <c r="DU167" s="1013"/>
      <c r="DV167" s="1013"/>
      <c r="DW167" s="1013"/>
      <c r="DX167" s="1013"/>
      <c r="DY167" s="1013"/>
      <c r="DZ167" s="1013"/>
      <c r="EA167" s="1013"/>
      <c r="EB167" s="1013"/>
      <c r="EC167" s="1013"/>
      <c r="ED167" s="1013"/>
      <c r="EE167" s="1013"/>
      <c r="EF167" s="1013"/>
      <c r="EG167" s="1013"/>
      <c r="EH167" s="1013"/>
      <c r="EI167" s="1013"/>
      <c r="EJ167" s="1013"/>
      <c r="EK167" s="1013"/>
      <c r="EL167" s="1013"/>
      <c r="EM167" s="1013"/>
      <c r="EN167" s="1013"/>
      <c r="EO167" s="1013"/>
      <c r="EP167" s="1013"/>
      <c r="EQ167" s="1013"/>
      <c r="ER167" s="1013"/>
      <c r="ES167" s="1013"/>
      <c r="ET167" s="1013"/>
      <c r="EU167" s="1013"/>
      <c r="EV167" s="1013"/>
      <c r="EW167" s="1013"/>
      <c r="EX167" s="1013"/>
      <c r="EY167" s="1013"/>
      <c r="EZ167" s="1013"/>
      <c r="FA167" s="1013"/>
      <c r="FB167" s="1013"/>
      <c r="FC167" s="1013"/>
      <c r="FD167" s="1013"/>
      <c r="FE167" s="1013"/>
      <c r="FF167" s="1013"/>
      <c r="FG167" s="1013"/>
      <c r="FH167" s="1013"/>
      <c r="FI167" s="1013"/>
      <c r="FJ167" s="1013"/>
      <c r="FK167" s="1013"/>
      <c r="FL167" s="1013"/>
      <c r="FM167" s="1013"/>
      <c r="FN167" s="1013"/>
      <c r="FO167" s="1013"/>
      <c r="FP167" s="1013"/>
      <c r="FQ167" s="1013"/>
      <c r="FR167" s="1013"/>
      <c r="FS167" s="1013"/>
      <c r="FT167" s="1013"/>
      <c r="FU167" s="1013"/>
      <c r="FV167" s="1013"/>
      <c r="FW167" s="1013"/>
      <c r="FX167" s="1013"/>
      <c r="FY167" s="1013"/>
      <c r="FZ167" s="1013"/>
      <c r="GA167" s="1013"/>
      <c r="GB167" s="1013"/>
      <c r="GC167" s="1013"/>
      <c r="GD167" s="1013"/>
      <c r="GE167" s="1013"/>
      <c r="GF167" s="1013"/>
      <c r="GG167" s="1013"/>
      <c r="GH167" s="1013"/>
      <c r="GI167" s="1013"/>
      <c r="GJ167" s="1013"/>
      <c r="GK167" s="1013"/>
      <c r="GL167" s="1013"/>
      <c r="GM167" s="1013"/>
      <c r="GN167" s="1013"/>
      <c r="GO167" s="1013"/>
      <c r="GP167" s="1013"/>
      <c r="GQ167" s="1013"/>
      <c r="GR167" s="1013"/>
      <c r="GS167" s="1013"/>
      <c r="GT167" s="1013"/>
      <c r="GU167" s="1013"/>
      <c r="GV167" s="1013"/>
      <c r="GW167" s="1013"/>
      <c r="GX167" s="1013"/>
      <c r="GY167" s="1013"/>
      <c r="GZ167" s="1013"/>
      <c r="HA167" s="1013"/>
    </row>
    <row r="168" spans="1:209" s="1003" customFormat="1" ht="30.75" customHeight="1">
      <c r="A168" s="994">
        <v>6</v>
      </c>
      <c r="B168" s="951" t="s">
        <v>836</v>
      </c>
      <c r="C168" s="996" t="s">
        <v>837</v>
      </c>
      <c r="D168" s="953" t="s">
        <v>73</v>
      </c>
      <c r="E168" s="1000">
        <v>3</v>
      </c>
      <c r="F168" s="958" t="s">
        <v>772</v>
      </c>
      <c r="G168" s="956">
        <v>4.0999999999999996</v>
      </c>
      <c r="H168" s="957">
        <v>17697</v>
      </c>
      <c r="I168" s="955">
        <v>2</v>
      </c>
      <c r="J168" s="957">
        <f>H168*G168*E168*I168</f>
        <v>435346.19999999995</v>
      </c>
      <c r="K168" s="958">
        <f>H168*G168*E168*I168</f>
        <v>435346.19999999995</v>
      </c>
      <c r="L168" s="957">
        <f>J168/164*0.5*58</f>
        <v>76981.95</v>
      </c>
      <c r="M168" s="957">
        <f>J168/164*0.5*2.67</f>
        <v>3543.8242499999997</v>
      </c>
      <c r="N168" s="958">
        <f>K168/164*0.5*58</f>
        <v>76981.95</v>
      </c>
      <c r="O168" s="958">
        <f>K168/164*0.5*2.67</f>
        <v>3543.8242499999997</v>
      </c>
      <c r="P168" s="965"/>
      <c r="Q168" s="965"/>
      <c r="R168" s="965"/>
      <c r="S168" s="965"/>
      <c r="T168" s="965"/>
      <c r="U168" s="965"/>
      <c r="V168" s="965"/>
      <c r="W168" s="965"/>
      <c r="X168" s="965"/>
      <c r="Y168" s="958"/>
      <c r="Z168" s="958"/>
      <c r="AA168" s="959"/>
      <c r="AB168" s="961"/>
      <c r="AC168" s="961"/>
      <c r="AD168" s="958">
        <f>K168*0.1</f>
        <v>43534.619999999995</v>
      </c>
      <c r="AE168" s="958">
        <f>K168+N168+O168+Q168+S168+U168+W168+X168+AA168+AD168+AC168</f>
        <v>559406.59424999997</v>
      </c>
      <c r="AF168" s="958">
        <f>AE168*12</f>
        <v>6712879.1309999991</v>
      </c>
      <c r="AG168" s="958">
        <f>K168</f>
        <v>435346.19999999995</v>
      </c>
      <c r="AH168" s="958">
        <f>AE168*12+AG168</f>
        <v>7148225.3309999993</v>
      </c>
      <c r="AI168" s="1022"/>
      <c r="AJ168" s="1023"/>
      <c r="AK168" s="1021"/>
      <c r="AL168" s="1021"/>
      <c r="AM168" s="1013"/>
      <c r="AN168" s="1013"/>
      <c r="AO168" s="1013"/>
      <c r="AP168" s="1013"/>
      <c r="AQ168" s="1013"/>
      <c r="AR168" s="1013"/>
      <c r="AS168" s="1013"/>
      <c r="AT168" s="1013"/>
      <c r="AU168" s="1013"/>
      <c r="AV168" s="1013"/>
      <c r="AW168" s="1013"/>
      <c r="AX168" s="1013"/>
      <c r="AY168" s="1013"/>
      <c r="AZ168" s="1013"/>
      <c r="BA168" s="1013"/>
      <c r="BB168" s="1013"/>
      <c r="BC168" s="1013"/>
      <c r="BD168" s="1013"/>
      <c r="BE168" s="1013"/>
      <c r="BF168" s="1013"/>
      <c r="BG168" s="1013"/>
      <c r="BH168" s="1013"/>
      <c r="BI168" s="1013"/>
      <c r="BJ168" s="1013"/>
      <c r="BK168" s="1013"/>
      <c r="BL168" s="1013"/>
      <c r="BM168" s="1013"/>
      <c r="BN168" s="1013"/>
      <c r="BO168" s="1013"/>
      <c r="BP168" s="1013"/>
      <c r="BQ168" s="1013"/>
      <c r="BR168" s="1013"/>
      <c r="BS168" s="1013"/>
      <c r="BT168" s="1013"/>
      <c r="BU168" s="1013"/>
      <c r="BV168" s="1013"/>
      <c r="BW168" s="1013"/>
      <c r="BX168" s="1013"/>
      <c r="BY168" s="1013"/>
      <c r="BZ168" s="1013"/>
      <c r="CA168" s="1013"/>
      <c r="CB168" s="1013"/>
      <c r="CC168" s="1013"/>
      <c r="CD168" s="1013"/>
      <c r="CE168" s="1013"/>
      <c r="CF168" s="1013"/>
      <c r="CG168" s="1013"/>
      <c r="CH168" s="1013"/>
      <c r="CI168" s="1013"/>
      <c r="CJ168" s="1013"/>
      <c r="CK168" s="1013"/>
      <c r="CL168" s="1013"/>
      <c r="CM168" s="1013"/>
      <c r="CN168" s="1013"/>
      <c r="CO168" s="1013"/>
      <c r="CP168" s="1013"/>
      <c r="CQ168" s="1013"/>
      <c r="CR168" s="1013"/>
      <c r="CS168" s="1013"/>
      <c r="CT168" s="1013"/>
      <c r="CU168" s="1013"/>
      <c r="CV168" s="1013"/>
      <c r="CW168" s="1013"/>
      <c r="CX168" s="1013"/>
      <c r="CY168" s="1013"/>
      <c r="CZ168" s="1013"/>
      <c r="DA168" s="1013"/>
      <c r="DB168" s="1013"/>
      <c r="DC168" s="1013"/>
      <c r="DD168" s="1013"/>
      <c r="DE168" s="1013"/>
      <c r="DF168" s="1013"/>
      <c r="DG168" s="1013"/>
      <c r="DH168" s="1013"/>
      <c r="DI168" s="1013"/>
      <c r="DJ168" s="1013"/>
      <c r="DK168" s="1013"/>
      <c r="DL168" s="1013"/>
      <c r="DM168" s="1013"/>
      <c r="DN168" s="1013"/>
      <c r="DO168" s="1013"/>
      <c r="DP168" s="1013"/>
      <c r="DQ168" s="1013"/>
      <c r="DR168" s="1013"/>
      <c r="DS168" s="1013"/>
      <c r="DT168" s="1013"/>
      <c r="DU168" s="1013"/>
      <c r="DV168" s="1013"/>
      <c r="DW168" s="1013"/>
      <c r="DX168" s="1013"/>
      <c r="DY168" s="1013"/>
      <c r="DZ168" s="1013"/>
      <c r="EA168" s="1013"/>
      <c r="EB168" s="1013"/>
      <c r="EC168" s="1013"/>
      <c r="ED168" s="1013"/>
      <c r="EE168" s="1013"/>
      <c r="EF168" s="1013"/>
      <c r="EG168" s="1013"/>
      <c r="EH168" s="1013"/>
      <c r="EI168" s="1013"/>
      <c r="EJ168" s="1013"/>
      <c r="EK168" s="1013"/>
      <c r="EL168" s="1013"/>
      <c r="EM168" s="1013"/>
      <c r="EN168" s="1013"/>
      <c r="EO168" s="1013"/>
      <c r="EP168" s="1013"/>
      <c r="EQ168" s="1013"/>
      <c r="ER168" s="1013"/>
      <c r="ES168" s="1013"/>
      <c r="ET168" s="1013"/>
      <c r="EU168" s="1013"/>
      <c r="EV168" s="1013"/>
      <c r="EW168" s="1013"/>
      <c r="EX168" s="1013"/>
      <c r="EY168" s="1013"/>
      <c r="EZ168" s="1013"/>
      <c r="FA168" s="1013"/>
      <c r="FB168" s="1013"/>
      <c r="FC168" s="1013"/>
      <c r="FD168" s="1013"/>
      <c r="FE168" s="1013"/>
      <c r="FF168" s="1013"/>
      <c r="FG168" s="1013"/>
      <c r="FH168" s="1013"/>
      <c r="FI168" s="1013"/>
      <c r="FJ168" s="1013"/>
      <c r="FK168" s="1013"/>
      <c r="FL168" s="1013"/>
      <c r="FM168" s="1013"/>
      <c r="FN168" s="1013"/>
      <c r="FO168" s="1013"/>
      <c r="FP168" s="1013"/>
      <c r="FQ168" s="1013"/>
      <c r="FR168" s="1013"/>
      <c r="FS168" s="1013"/>
      <c r="FT168" s="1013"/>
      <c r="FU168" s="1013"/>
      <c r="FV168" s="1013"/>
      <c r="FW168" s="1013"/>
      <c r="FX168" s="1013"/>
      <c r="FY168" s="1013"/>
      <c r="FZ168" s="1013"/>
      <c r="GA168" s="1013"/>
      <c r="GB168" s="1013"/>
      <c r="GC168" s="1013"/>
      <c r="GD168" s="1013"/>
      <c r="GE168" s="1013"/>
      <c r="GF168" s="1013"/>
      <c r="GG168" s="1013"/>
      <c r="GH168" s="1013"/>
      <c r="GI168" s="1013"/>
      <c r="GJ168" s="1013"/>
      <c r="GK168" s="1013"/>
      <c r="GL168" s="1013"/>
      <c r="GM168" s="1013"/>
      <c r="GN168" s="1013"/>
      <c r="GO168" s="1013"/>
      <c r="GP168" s="1013"/>
      <c r="GQ168" s="1013"/>
      <c r="GR168" s="1013"/>
      <c r="GS168" s="1013"/>
      <c r="GT168" s="1013"/>
      <c r="GU168" s="1013"/>
      <c r="GV168" s="1013"/>
      <c r="GW168" s="1013"/>
      <c r="GX168" s="1013"/>
      <c r="GY168" s="1013"/>
      <c r="GZ168" s="1013"/>
      <c r="HA168" s="1013"/>
    </row>
    <row r="169" spans="1:209" s="1003" customFormat="1" ht="30.75" customHeight="1">
      <c r="A169" s="994">
        <v>7</v>
      </c>
      <c r="B169" s="951" t="s">
        <v>836</v>
      </c>
      <c r="C169" s="996" t="s">
        <v>837</v>
      </c>
      <c r="D169" s="953" t="s">
        <v>73</v>
      </c>
      <c r="E169" s="1000">
        <v>1</v>
      </c>
      <c r="F169" s="958" t="s">
        <v>707</v>
      </c>
      <c r="G169" s="956">
        <v>4.2699999999999996</v>
      </c>
      <c r="H169" s="957">
        <v>17697</v>
      </c>
      <c r="I169" s="955">
        <v>2</v>
      </c>
      <c r="J169" s="957">
        <f>H169*G169*E169*I169</f>
        <v>151132.37999999998</v>
      </c>
      <c r="K169" s="958">
        <f>H169*G169*E169*I169</f>
        <v>151132.37999999998</v>
      </c>
      <c r="L169" s="957">
        <f>J169/164*0.5*58</f>
        <v>26724.628170731703</v>
      </c>
      <c r="M169" s="957">
        <f>J169/164*0.5*2.67</f>
        <v>1230.2544347560972</v>
      </c>
      <c r="N169" s="958">
        <f>K169/164*0.5*58</f>
        <v>26724.628170731703</v>
      </c>
      <c r="O169" s="958">
        <f>K169/164*0.5*2.67</f>
        <v>1230.2544347560972</v>
      </c>
      <c r="P169" s="965"/>
      <c r="Q169" s="965"/>
      <c r="R169" s="965"/>
      <c r="S169" s="965"/>
      <c r="T169" s="965"/>
      <c r="U169" s="965"/>
      <c r="V169" s="965"/>
      <c r="W169" s="965"/>
      <c r="X169" s="965"/>
      <c r="Y169" s="958"/>
      <c r="Z169" s="958"/>
      <c r="AA169" s="959"/>
      <c r="AB169" s="961"/>
      <c r="AC169" s="961"/>
      <c r="AD169" s="958">
        <f>K169*0.1</f>
        <v>15113.237999999998</v>
      </c>
      <c r="AE169" s="958">
        <f>K169+N169+O169+Q169+S169+U169+W169+X169+AA169+AD169+AC169</f>
        <v>194200.50060548779</v>
      </c>
      <c r="AF169" s="958">
        <f>AE169*12</f>
        <v>2330406.0072658537</v>
      </c>
      <c r="AG169" s="958">
        <f>K169</f>
        <v>151132.37999999998</v>
      </c>
      <c r="AH169" s="958">
        <f>AE169*12+AG169</f>
        <v>2481538.3872658536</v>
      </c>
      <c r="AI169" s="1022"/>
      <c r="AJ169" s="1023"/>
      <c r="AK169" s="1021"/>
      <c r="AL169" s="1021"/>
      <c r="AM169" s="1013"/>
      <c r="AN169" s="1013"/>
      <c r="AO169" s="1013"/>
      <c r="AP169" s="1013"/>
      <c r="AQ169" s="1013"/>
      <c r="AR169" s="1013"/>
      <c r="AS169" s="1013"/>
      <c r="AT169" s="1013"/>
      <c r="AU169" s="1013"/>
      <c r="AV169" s="1013"/>
      <c r="AW169" s="1013"/>
      <c r="AX169" s="1013"/>
      <c r="AY169" s="1013"/>
      <c r="AZ169" s="1013"/>
      <c r="BA169" s="1013"/>
      <c r="BB169" s="1013"/>
      <c r="BC169" s="1013"/>
      <c r="BD169" s="1013"/>
      <c r="BE169" s="1013"/>
      <c r="BF169" s="1013"/>
      <c r="BG169" s="1013"/>
      <c r="BH169" s="1013"/>
      <c r="BI169" s="1013"/>
      <c r="BJ169" s="1013"/>
      <c r="BK169" s="1013"/>
      <c r="BL169" s="1013"/>
      <c r="BM169" s="1013"/>
      <c r="BN169" s="1013"/>
      <c r="BO169" s="1013"/>
      <c r="BP169" s="1013"/>
      <c r="BQ169" s="1013"/>
      <c r="BR169" s="1013"/>
      <c r="BS169" s="1013"/>
      <c r="BT169" s="1013"/>
      <c r="BU169" s="1013"/>
      <c r="BV169" s="1013"/>
      <c r="BW169" s="1013"/>
      <c r="BX169" s="1013"/>
      <c r="BY169" s="1013"/>
      <c r="BZ169" s="1013"/>
      <c r="CA169" s="1013"/>
      <c r="CB169" s="1013"/>
      <c r="CC169" s="1013"/>
      <c r="CD169" s="1013"/>
      <c r="CE169" s="1013"/>
      <c r="CF169" s="1013"/>
      <c r="CG169" s="1013"/>
      <c r="CH169" s="1013"/>
      <c r="CI169" s="1013"/>
      <c r="CJ169" s="1013"/>
      <c r="CK169" s="1013"/>
      <c r="CL169" s="1013"/>
      <c r="CM169" s="1013"/>
      <c r="CN169" s="1013"/>
      <c r="CO169" s="1013"/>
      <c r="CP169" s="1013"/>
      <c r="CQ169" s="1013"/>
      <c r="CR169" s="1013"/>
      <c r="CS169" s="1013"/>
      <c r="CT169" s="1013"/>
      <c r="CU169" s="1013"/>
      <c r="CV169" s="1013"/>
      <c r="CW169" s="1013"/>
      <c r="CX169" s="1013"/>
      <c r="CY169" s="1013"/>
      <c r="CZ169" s="1013"/>
      <c r="DA169" s="1013"/>
      <c r="DB169" s="1013"/>
      <c r="DC169" s="1013"/>
      <c r="DD169" s="1013"/>
      <c r="DE169" s="1013"/>
      <c r="DF169" s="1013"/>
      <c r="DG169" s="1013"/>
      <c r="DH169" s="1013"/>
      <c r="DI169" s="1013"/>
      <c r="DJ169" s="1013"/>
      <c r="DK169" s="1013"/>
      <c r="DL169" s="1013"/>
      <c r="DM169" s="1013"/>
      <c r="DN169" s="1013"/>
      <c r="DO169" s="1013"/>
      <c r="DP169" s="1013"/>
      <c r="DQ169" s="1013"/>
      <c r="DR169" s="1013"/>
      <c r="DS169" s="1013"/>
      <c r="DT169" s="1013"/>
      <c r="DU169" s="1013"/>
      <c r="DV169" s="1013"/>
      <c r="DW169" s="1013"/>
      <c r="DX169" s="1013"/>
      <c r="DY169" s="1013"/>
      <c r="DZ169" s="1013"/>
      <c r="EA169" s="1013"/>
      <c r="EB169" s="1013"/>
      <c r="EC169" s="1013"/>
      <c r="ED169" s="1013"/>
      <c r="EE169" s="1013"/>
      <c r="EF169" s="1013"/>
      <c r="EG169" s="1013"/>
      <c r="EH169" s="1013"/>
      <c r="EI169" s="1013"/>
      <c r="EJ169" s="1013"/>
      <c r="EK169" s="1013"/>
      <c r="EL169" s="1013"/>
      <c r="EM169" s="1013"/>
      <c r="EN169" s="1013"/>
      <c r="EO169" s="1013"/>
      <c r="EP169" s="1013"/>
      <c r="EQ169" s="1013"/>
      <c r="ER169" s="1013"/>
      <c r="ES169" s="1013"/>
      <c r="ET169" s="1013"/>
      <c r="EU169" s="1013"/>
      <c r="EV169" s="1013"/>
      <c r="EW169" s="1013"/>
      <c r="EX169" s="1013"/>
      <c r="EY169" s="1013"/>
      <c r="EZ169" s="1013"/>
      <c r="FA169" s="1013"/>
      <c r="FB169" s="1013"/>
      <c r="FC169" s="1013"/>
      <c r="FD169" s="1013"/>
      <c r="FE169" s="1013"/>
      <c r="FF169" s="1013"/>
      <c r="FG169" s="1013"/>
      <c r="FH169" s="1013"/>
      <c r="FI169" s="1013"/>
      <c r="FJ169" s="1013"/>
      <c r="FK169" s="1013"/>
      <c r="FL169" s="1013"/>
      <c r="FM169" s="1013"/>
      <c r="FN169" s="1013"/>
      <c r="FO169" s="1013"/>
      <c r="FP169" s="1013"/>
      <c r="FQ169" s="1013"/>
      <c r="FR169" s="1013"/>
      <c r="FS169" s="1013"/>
      <c r="FT169" s="1013"/>
      <c r="FU169" s="1013"/>
      <c r="FV169" s="1013"/>
      <c r="FW169" s="1013"/>
      <c r="FX169" s="1013"/>
      <c r="FY169" s="1013"/>
      <c r="FZ169" s="1013"/>
      <c r="GA169" s="1013"/>
      <c r="GB169" s="1013"/>
      <c r="GC169" s="1013"/>
      <c r="GD169" s="1013"/>
      <c r="GE169" s="1013"/>
      <c r="GF169" s="1013"/>
      <c r="GG169" s="1013"/>
      <c r="GH169" s="1013"/>
      <c r="GI169" s="1013"/>
      <c r="GJ169" s="1013"/>
      <c r="GK169" s="1013"/>
      <c r="GL169" s="1013"/>
      <c r="GM169" s="1013"/>
      <c r="GN169" s="1013"/>
      <c r="GO169" s="1013"/>
      <c r="GP169" s="1013"/>
      <c r="GQ169" s="1013"/>
      <c r="GR169" s="1013"/>
      <c r="GS169" s="1013"/>
      <c r="GT169" s="1013"/>
      <c r="GU169" s="1013"/>
      <c r="GV169" s="1013"/>
      <c r="GW169" s="1013"/>
      <c r="GX169" s="1013"/>
      <c r="GY169" s="1013"/>
      <c r="GZ169" s="1013"/>
      <c r="HA169" s="1013"/>
    </row>
    <row r="170" spans="1:209" s="1003" customFormat="1" ht="30" customHeight="1">
      <c r="A170" s="994">
        <v>8</v>
      </c>
      <c r="B170" s="951" t="s">
        <v>838</v>
      </c>
      <c r="C170" s="952" t="s">
        <v>714</v>
      </c>
      <c r="D170" s="953" t="s">
        <v>73</v>
      </c>
      <c r="E170" s="1000">
        <v>3</v>
      </c>
      <c r="F170" s="958" t="s">
        <v>707</v>
      </c>
      <c r="G170" s="956">
        <v>4.2699999999999996</v>
      </c>
      <c r="H170" s="957">
        <v>17697</v>
      </c>
      <c r="I170" s="955">
        <v>2</v>
      </c>
      <c r="J170" s="957">
        <f t="shared" si="170"/>
        <v>453397.1399999999</v>
      </c>
      <c r="K170" s="958">
        <f t="shared" si="163"/>
        <v>453397.1399999999</v>
      </c>
      <c r="L170" s="957">
        <f t="shared" si="171"/>
        <v>80173.884512195102</v>
      </c>
      <c r="M170" s="957">
        <f t="shared" si="172"/>
        <v>3690.7633042682919</v>
      </c>
      <c r="N170" s="958">
        <f t="shared" si="173"/>
        <v>80173.884512195102</v>
      </c>
      <c r="O170" s="958">
        <f t="shared" si="174"/>
        <v>3690.7633042682919</v>
      </c>
      <c r="P170" s="965"/>
      <c r="Q170" s="965"/>
      <c r="R170" s="965"/>
      <c r="S170" s="965"/>
      <c r="T170" s="965"/>
      <c r="U170" s="965"/>
      <c r="V170" s="965"/>
      <c r="W170" s="965"/>
      <c r="X170" s="965"/>
      <c r="Y170" s="958"/>
      <c r="Z170" s="958"/>
      <c r="AA170" s="959"/>
      <c r="AB170" s="961"/>
      <c r="AC170" s="961"/>
      <c r="AD170" s="958">
        <f t="shared" si="164"/>
        <v>45339.713999999993</v>
      </c>
      <c r="AE170" s="958">
        <f t="shared" si="165"/>
        <v>582601.50181646331</v>
      </c>
      <c r="AF170" s="958">
        <f t="shared" si="166"/>
        <v>6991218.0217975602</v>
      </c>
      <c r="AG170" s="958">
        <f t="shared" si="167"/>
        <v>453397.1399999999</v>
      </c>
      <c r="AH170" s="958">
        <f t="shared" si="168"/>
        <v>7444615.1617975598</v>
      </c>
      <c r="AI170" s="1022"/>
      <c r="AJ170" s="1023"/>
      <c r="AK170" s="1021"/>
      <c r="AL170" s="1021"/>
      <c r="AM170" s="1013"/>
      <c r="AN170" s="1013"/>
      <c r="AO170" s="1013"/>
      <c r="AP170" s="1013"/>
      <c r="AQ170" s="1013"/>
      <c r="AR170" s="1013"/>
      <c r="AS170" s="1013"/>
      <c r="AT170" s="1013"/>
      <c r="AU170" s="1013"/>
      <c r="AV170" s="1013"/>
      <c r="AW170" s="1013"/>
      <c r="AX170" s="1013"/>
      <c r="AY170" s="1013"/>
      <c r="AZ170" s="1013"/>
      <c r="BA170" s="1013"/>
      <c r="BB170" s="1013"/>
      <c r="BC170" s="1013"/>
      <c r="BD170" s="1013"/>
      <c r="BE170" s="1013"/>
      <c r="BF170" s="1013"/>
      <c r="BG170" s="1013"/>
      <c r="BH170" s="1013"/>
      <c r="BI170" s="1013"/>
      <c r="BJ170" s="1013"/>
      <c r="BK170" s="1013"/>
      <c r="BL170" s="1013"/>
      <c r="BM170" s="1013"/>
      <c r="BN170" s="1013"/>
      <c r="BO170" s="1013"/>
      <c r="BP170" s="1013"/>
      <c r="BQ170" s="1013"/>
      <c r="BR170" s="1013"/>
      <c r="BS170" s="1013"/>
      <c r="BT170" s="1013"/>
      <c r="BU170" s="1013"/>
      <c r="BV170" s="1013"/>
      <c r="BW170" s="1013"/>
      <c r="BX170" s="1013"/>
      <c r="BY170" s="1013"/>
      <c r="BZ170" s="1013"/>
      <c r="CA170" s="1013"/>
      <c r="CB170" s="1013"/>
      <c r="CC170" s="1013"/>
      <c r="CD170" s="1013"/>
      <c r="CE170" s="1013"/>
      <c r="CF170" s="1013"/>
      <c r="CG170" s="1013"/>
      <c r="CH170" s="1013"/>
      <c r="CI170" s="1013"/>
      <c r="CJ170" s="1013"/>
      <c r="CK170" s="1013"/>
      <c r="CL170" s="1013"/>
      <c r="CM170" s="1013"/>
      <c r="CN170" s="1013"/>
      <c r="CO170" s="1013"/>
      <c r="CP170" s="1013"/>
      <c r="CQ170" s="1013"/>
      <c r="CR170" s="1013"/>
      <c r="CS170" s="1013"/>
      <c r="CT170" s="1013"/>
      <c r="CU170" s="1013"/>
      <c r="CV170" s="1013"/>
      <c r="CW170" s="1013"/>
      <c r="CX170" s="1013"/>
      <c r="CY170" s="1013"/>
      <c r="CZ170" s="1013"/>
      <c r="DA170" s="1013"/>
      <c r="DB170" s="1013"/>
      <c r="DC170" s="1013"/>
      <c r="DD170" s="1013"/>
      <c r="DE170" s="1013"/>
      <c r="DF170" s="1013"/>
      <c r="DG170" s="1013"/>
      <c r="DH170" s="1013"/>
      <c r="DI170" s="1013"/>
      <c r="DJ170" s="1013"/>
      <c r="DK170" s="1013"/>
      <c r="DL170" s="1013"/>
      <c r="DM170" s="1013"/>
      <c r="DN170" s="1013"/>
      <c r="DO170" s="1013"/>
      <c r="DP170" s="1013"/>
      <c r="DQ170" s="1013"/>
      <c r="DR170" s="1013"/>
      <c r="DS170" s="1013"/>
      <c r="DT170" s="1013"/>
      <c r="DU170" s="1013"/>
      <c r="DV170" s="1013"/>
      <c r="DW170" s="1013"/>
      <c r="DX170" s="1013"/>
      <c r="DY170" s="1013"/>
      <c r="DZ170" s="1013"/>
      <c r="EA170" s="1013"/>
      <c r="EB170" s="1013"/>
      <c r="EC170" s="1013"/>
      <c r="ED170" s="1013"/>
      <c r="EE170" s="1013"/>
      <c r="EF170" s="1013"/>
      <c r="EG170" s="1013"/>
      <c r="EH170" s="1013"/>
      <c r="EI170" s="1013"/>
      <c r="EJ170" s="1013"/>
      <c r="EK170" s="1013"/>
      <c r="EL170" s="1013"/>
      <c r="EM170" s="1013"/>
      <c r="EN170" s="1013"/>
      <c r="EO170" s="1013"/>
      <c r="EP170" s="1013"/>
      <c r="EQ170" s="1013"/>
      <c r="ER170" s="1013"/>
      <c r="ES170" s="1013"/>
      <c r="ET170" s="1013"/>
      <c r="EU170" s="1013"/>
      <c r="EV170" s="1013"/>
      <c r="EW170" s="1013"/>
      <c r="EX170" s="1013"/>
      <c r="EY170" s="1013"/>
      <c r="EZ170" s="1013"/>
      <c r="FA170" s="1013"/>
      <c r="FB170" s="1013"/>
      <c r="FC170" s="1013"/>
      <c r="FD170" s="1013"/>
      <c r="FE170" s="1013"/>
      <c r="FF170" s="1013"/>
      <c r="FG170" s="1013"/>
      <c r="FH170" s="1013"/>
      <c r="FI170" s="1013"/>
      <c r="FJ170" s="1013"/>
      <c r="FK170" s="1013"/>
      <c r="FL170" s="1013"/>
      <c r="FM170" s="1013"/>
      <c r="FN170" s="1013"/>
      <c r="FO170" s="1013"/>
      <c r="FP170" s="1013"/>
      <c r="FQ170" s="1013"/>
      <c r="FR170" s="1013"/>
      <c r="FS170" s="1013"/>
      <c r="FT170" s="1013"/>
      <c r="FU170" s="1013"/>
      <c r="FV170" s="1013"/>
      <c r="FW170" s="1013"/>
      <c r="FX170" s="1013"/>
      <c r="FY170" s="1013"/>
      <c r="FZ170" s="1013"/>
      <c r="GA170" s="1013"/>
      <c r="GB170" s="1013"/>
      <c r="GC170" s="1013"/>
      <c r="GD170" s="1013"/>
      <c r="GE170" s="1013"/>
      <c r="GF170" s="1013"/>
      <c r="GG170" s="1013"/>
      <c r="GH170" s="1013"/>
      <c r="GI170" s="1013"/>
      <c r="GJ170" s="1013"/>
      <c r="GK170" s="1013"/>
      <c r="GL170" s="1013"/>
      <c r="GM170" s="1013"/>
      <c r="GN170" s="1013"/>
      <c r="GO170" s="1013"/>
      <c r="GP170" s="1013"/>
      <c r="GQ170" s="1013"/>
      <c r="GR170" s="1013"/>
      <c r="GS170" s="1013"/>
      <c r="GT170" s="1013"/>
      <c r="GU170" s="1013"/>
      <c r="GV170" s="1013"/>
      <c r="GW170" s="1013"/>
      <c r="GX170" s="1013"/>
      <c r="GY170" s="1013"/>
      <c r="GZ170" s="1013"/>
      <c r="HA170" s="1013"/>
    </row>
    <row r="171" spans="1:209" s="1003" customFormat="1" ht="23.25" customHeight="1">
      <c r="A171" s="994">
        <v>9</v>
      </c>
      <c r="B171" s="951" t="s">
        <v>839</v>
      </c>
      <c r="C171" s="951" t="s">
        <v>840</v>
      </c>
      <c r="D171" s="994">
        <v>2</v>
      </c>
      <c r="E171" s="1000">
        <v>2</v>
      </c>
      <c r="F171" s="955" t="s">
        <v>827</v>
      </c>
      <c r="G171" s="953">
        <v>2.84</v>
      </c>
      <c r="H171" s="957">
        <v>17697</v>
      </c>
      <c r="I171" s="955">
        <v>2</v>
      </c>
      <c r="J171" s="957">
        <f t="shared" si="170"/>
        <v>201037.91999999998</v>
      </c>
      <c r="K171" s="958">
        <f t="shared" si="163"/>
        <v>201037.91999999998</v>
      </c>
      <c r="L171" s="957">
        <f t="shared" si="171"/>
        <v>35549.388292682925</v>
      </c>
      <c r="M171" s="957">
        <f t="shared" si="172"/>
        <v>1636.4977024390241</v>
      </c>
      <c r="N171" s="965"/>
      <c r="O171" s="965"/>
      <c r="P171" s="965"/>
      <c r="Q171" s="965"/>
      <c r="R171" s="965"/>
      <c r="S171" s="965"/>
      <c r="T171" s="965"/>
      <c r="U171" s="965"/>
      <c r="V171" s="965"/>
      <c r="W171" s="965"/>
      <c r="X171" s="965"/>
      <c r="Y171" s="958"/>
      <c r="Z171" s="958"/>
      <c r="AA171" s="959"/>
      <c r="AB171" s="961"/>
      <c r="AC171" s="961"/>
      <c r="AD171" s="958">
        <f t="shared" si="164"/>
        <v>20103.792000000001</v>
      </c>
      <c r="AE171" s="958">
        <f t="shared" si="165"/>
        <v>221141.712</v>
      </c>
      <c r="AF171" s="958">
        <f t="shared" si="166"/>
        <v>2653700.5439999998</v>
      </c>
      <c r="AG171" s="958">
        <f t="shared" si="167"/>
        <v>201037.91999999998</v>
      </c>
      <c r="AH171" s="958">
        <f t="shared" si="168"/>
        <v>2854738.4639999997</v>
      </c>
      <c r="AI171" s="1022"/>
      <c r="AJ171" s="1023"/>
      <c r="AK171" s="1021"/>
      <c r="AL171" s="1021"/>
      <c r="AM171" s="1013"/>
      <c r="AN171" s="1013"/>
      <c r="AO171" s="1013"/>
      <c r="AP171" s="1013"/>
      <c r="AQ171" s="1013"/>
      <c r="AR171" s="1013"/>
      <c r="AS171" s="1013"/>
      <c r="AT171" s="1013"/>
      <c r="AU171" s="1013"/>
      <c r="AV171" s="1013"/>
      <c r="AW171" s="1013"/>
      <c r="AX171" s="1013"/>
      <c r="AY171" s="1013"/>
      <c r="AZ171" s="1013"/>
      <c r="BA171" s="1013"/>
      <c r="BB171" s="1013"/>
      <c r="BC171" s="1013"/>
      <c r="BD171" s="1013"/>
      <c r="BE171" s="1013"/>
      <c r="BF171" s="1013"/>
      <c r="BG171" s="1013"/>
      <c r="BH171" s="1013"/>
      <c r="BI171" s="1013"/>
      <c r="BJ171" s="1013"/>
      <c r="BK171" s="1013"/>
      <c r="BL171" s="1013"/>
      <c r="BM171" s="1013"/>
      <c r="BN171" s="1013"/>
      <c r="BO171" s="1013"/>
      <c r="BP171" s="1013"/>
      <c r="BQ171" s="1013"/>
      <c r="BR171" s="1013"/>
      <c r="BS171" s="1013"/>
      <c r="BT171" s="1013"/>
      <c r="BU171" s="1013"/>
      <c r="BV171" s="1013"/>
      <c r="BW171" s="1013"/>
      <c r="BX171" s="1013"/>
      <c r="BY171" s="1013"/>
      <c r="BZ171" s="1013"/>
      <c r="CA171" s="1013"/>
      <c r="CB171" s="1013"/>
      <c r="CC171" s="1013"/>
      <c r="CD171" s="1013"/>
      <c r="CE171" s="1013"/>
      <c r="CF171" s="1013"/>
      <c r="CG171" s="1013"/>
      <c r="CH171" s="1013"/>
      <c r="CI171" s="1013"/>
      <c r="CJ171" s="1013"/>
      <c r="CK171" s="1013"/>
      <c r="CL171" s="1013"/>
      <c r="CM171" s="1013"/>
      <c r="CN171" s="1013"/>
      <c r="CO171" s="1013"/>
      <c r="CP171" s="1013"/>
      <c r="CQ171" s="1013"/>
      <c r="CR171" s="1013"/>
      <c r="CS171" s="1013"/>
      <c r="CT171" s="1013"/>
      <c r="CU171" s="1013"/>
      <c r="CV171" s="1013"/>
      <c r="CW171" s="1013"/>
      <c r="CX171" s="1013"/>
      <c r="CY171" s="1013"/>
      <c r="CZ171" s="1013"/>
      <c r="DA171" s="1013"/>
      <c r="DB171" s="1013"/>
      <c r="DC171" s="1013"/>
      <c r="DD171" s="1013"/>
      <c r="DE171" s="1013"/>
      <c r="DF171" s="1013"/>
      <c r="DG171" s="1013"/>
      <c r="DH171" s="1013"/>
      <c r="DI171" s="1013"/>
      <c r="DJ171" s="1013"/>
      <c r="DK171" s="1013"/>
      <c r="DL171" s="1013"/>
      <c r="DM171" s="1013"/>
      <c r="DN171" s="1013"/>
      <c r="DO171" s="1013"/>
      <c r="DP171" s="1013"/>
      <c r="DQ171" s="1013"/>
      <c r="DR171" s="1013"/>
      <c r="DS171" s="1013"/>
      <c r="DT171" s="1013"/>
      <c r="DU171" s="1013"/>
      <c r="DV171" s="1013"/>
      <c r="DW171" s="1013"/>
      <c r="DX171" s="1013"/>
      <c r="DY171" s="1013"/>
      <c r="DZ171" s="1013"/>
      <c r="EA171" s="1013"/>
      <c r="EB171" s="1013"/>
      <c r="EC171" s="1013"/>
      <c r="ED171" s="1013"/>
      <c r="EE171" s="1013"/>
      <c r="EF171" s="1013"/>
      <c r="EG171" s="1013"/>
      <c r="EH171" s="1013"/>
      <c r="EI171" s="1013"/>
      <c r="EJ171" s="1013"/>
      <c r="EK171" s="1013"/>
      <c r="EL171" s="1013"/>
      <c r="EM171" s="1013"/>
      <c r="EN171" s="1013"/>
      <c r="EO171" s="1013"/>
      <c r="EP171" s="1013"/>
      <c r="EQ171" s="1013"/>
      <c r="ER171" s="1013"/>
      <c r="ES171" s="1013"/>
      <c r="ET171" s="1013"/>
      <c r="EU171" s="1013"/>
      <c r="EV171" s="1013"/>
      <c r="EW171" s="1013"/>
      <c r="EX171" s="1013"/>
      <c r="EY171" s="1013"/>
      <c r="EZ171" s="1013"/>
      <c r="FA171" s="1013"/>
      <c r="FB171" s="1013"/>
      <c r="FC171" s="1013"/>
      <c r="FD171" s="1013"/>
      <c r="FE171" s="1013"/>
      <c r="FF171" s="1013"/>
      <c r="FG171" s="1013"/>
      <c r="FH171" s="1013"/>
      <c r="FI171" s="1013"/>
      <c r="FJ171" s="1013"/>
      <c r="FK171" s="1013"/>
      <c r="FL171" s="1013"/>
      <c r="FM171" s="1013"/>
      <c r="FN171" s="1013"/>
      <c r="FO171" s="1013"/>
      <c r="FP171" s="1013"/>
      <c r="FQ171" s="1013"/>
      <c r="FR171" s="1013"/>
      <c r="FS171" s="1013"/>
      <c r="FT171" s="1013"/>
      <c r="FU171" s="1013"/>
      <c r="FV171" s="1013"/>
      <c r="FW171" s="1013"/>
      <c r="FX171" s="1013"/>
      <c r="FY171" s="1013"/>
      <c r="FZ171" s="1013"/>
      <c r="GA171" s="1013"/>
      <c r="GB171" s="1013"/>
      <c r="GC171" s="1013"/>
      <c r="GD171" s="1013"/>
      <c r="GE171" s="1013"/>
      <c r="GF171" s="1013"/>
      <c r="GG171" s="1013"/>
      <c r="GH171" s="1013"/>
      <c r="GI171" s="1013"/>
      <c r="GJ171" s="1013"/>
      <c r="GK171" s="1013"/>
      <c r="GL171" s="1013"/>
      <c r="GM171" s="1013"/>
      <c r="GN171" s="1013"/>
      <c r="GO171" s="1013"/>
      <c r="GP171" s="1013"/>
      <c r="GQ171" s="1013"/>
      <c r="GR171" s="1013"/>
      <c r="GS171" s="1013"/>
      <c r="GT171" s="1013"/>
      <c r="GU171" s="1013"/>
      <c r="GV171" s="1013"/>
      <c r="GW171" s="1013"/>
      <c r="GX171" s="1013"/>
      <c r="GY171" s="1013"/>
      <c r="GZ171" s="1013"/>
      <c r="HA171" s="1013"/>
    </row>
    <row r="172" spans="1:209" s="1003" customFormat="1" ht="27" customHeight="1">
      <c r="A172" s="950"/>
      <c r="B172" s="1001" t="s">
        <v>627</v>
      </c>
      <c r="C172" s="964"/>
      <c r="D172" s="998"/>
      <c r="E172" s="999">
        <f>SUM(E163:E171)</f>
        <v>15</v>
      </c>
      <c r="F172" s="998"/>
      <c r="G172" s="998"/>
      <c r="H172" s="998"/>
      <c r="I172" s="998"/>
      <c r="J172" s="998"/>
      <c r="K172" s="999">
        <f>SUM(K163:K171)</f>
        <v>2178146.7599999998</v>
      </c>
      <c r="L172" s="999">
        <f>SUM(L163:L171)</f>
        <v>327016.82012195117</v>
      </c>
      <c r="M172" s="999">
        <f>SUM(M163:M171)</f>
        <v>15054.050167682926</v>
      </c>
      <c r="N172" s="999">
        <f>SUM(N163:N171)</f>
        <v>291467.43182926823</v>
      </c>
      <c r="O172" s="999">
        <f>SUM(O163:O171)</f>
        <v>13417.552465243902</v>
      </c>
      <c r="P172" s="965"/>
      <c r="Q172" s="965"/>
      <c r="R172" s="965"/>
      <c r="S172" s="965"/>
      <c r="T172" s="965"/>
      <c r="U172" s="965"/>
      <c r="V172" s="965"/>
      <c r="W172" s="965"/>
      <c r="X172" s="965"/>
      <c r="Y172" s="965"/>
      <c r="Z172" s="965"/>
      <c r="AA172" s="999">
        <f>SUM(AA163:AA171)</f>
        <v>1285120.746</v>
      </c>
      <c r="AB172" s="961"/>
      <c r="AC172" s="961"/>
      <c r="AD172" s="999">
        <f>SUM(AD163:AD171)</f>
        <v>217814.67600000004</v>
      </c>
      <c r="AE172" s="999">
        <f>SUM(AE163:AE171)</f>
        <v>3985967.1662945119</v>
      </c>
      <c r="AF172" s="999">
        <f>SUM(AF163:AF171)</f>
        <v>47831605.995534144</v>
      </c>
      <c r="AG172" s="999">
        <f>SUM(AG163:AG171)</f>
        <v>2178146.7599999998</v>
      </c>
      <c r="AH172" s="999">
        <f>SUM(AH163:AH171)</f>
        <v>50009752.755534142</v>
      </c>
      <c r="AI172" s="1022"/>
      <c r="AJ172" s="1023"/>
      <c r="AK172" s="1021"/>
      <c r="AL172" s="1021"/>
      <c r="AM172" s="1013"/>
      <c r="AN172" s="1013"/>
      <c r="AO172" s="1013"/>
      <c r="AP172" s="1013"/>
      <c r="AQ172" s="1013"/>
      <c r="AR172" s="1013"/>
      <c r="AS172" s="1013"/>
      <c r="AT172" s="1013"/>
      <c r="AU172" s="1013"/>
      <c r="AV172" s="1013"/>
      <c r="AW172" s="1013"/>
      <c r="AX172" s="1013"/>
      <c r="AY172" s="1013"/>
      <c r="AZ172" s="1013"/>
      <c r="BA172" s="1013"/>
      <c r="BB172" s="1013"/>
      <c r="BC172" s="1013"/>
      <c r="BD172" s="1013"/>
      <c r="BE172" s="1013"/>
      <c r="BF172" s="1013"/>
      <c r="BG172" s="1013"/>
      <c r="BH172" s="1013"/>
      <c r="BI172" s="1013"/>
      <c r="BJ172" s="1013"/>
      <c r="BK172" s="1013"/>
      <c r="BL172" s="1013"/>
      <c r="BM172" s="1013"/>
      <c r="BN172" s="1013"/>
      <c r="BO172" s="1013"/>
      <c r="BP172" s="1013"/>
      <c r="BQ172" s="1013"/>
      <c r="BR172" s="1013"/>
      <c r="BS172" s="1013"/>
      <c r="BT172" s="1013"/>
      <c r="BU172" s="1013"/>
      <c r="BV172" s="1013"/>
      <c r="BW172" s="1013"/>
      <c r="BX172" s="1013"/>
      <c r="BY172" s="1013"/>
      <c r="BZ172" s="1013"/>
      <c r="CA172" s="1013"/>
      <c r="CB172" s="1013"/>
      <c r="CC172" s="1013"/>
      <c r="CD172" s="1013"/>
      <c r="CE172" s="1013"/>
      <c r="CF172" s="1013"/>
      <c r="CG172" s="1013"/>
      <c r="CH172" s="1013"/>
      <c r="CI172" s="1013"/>
      <c r="CJ172" s="1013"/>
      <c r="CK172" s="1013"/>
      <c r="CL172" s="1013"/>
      <c r="CM172" s="1013"/>
      <c r="CN172" s="1013"/>
      <c r="CO172" s="1013"/>
      <c r="CP172" s="1013"/>
      <c r="CQ172" s="1013"/>
      <c r="CR172" s="1013"/>
      <c r="CS172" s="1013"/>
      <c r="CT172" s="1013"/>
      <c r="CU172" s="1013"/>
      <c r="CV172" s="1013"/>
      <c r="CW172" s="1013"/>
      <c r="CX172" s="1013"/>
      <c r="CY172" s="1013"/>
      <c r="CZ172" s="1013"/>
      <c r="DA172" s="1013"/>
      <c r="DB172" s="1013"/>
      <c r="DC172" s="1013"/>
      <c r="DD172" s="1013"/>
      <c r="DE172" s="1013"/>
      <c r="DF172" s="1013"/>
      <c r="DG172" s="1013"/>
      <c r="DH172" s="1013"/>
      <c r="DI172" s="1013"/>
      <c r="DJ172" s="1013"/>
      <c r="DK172" s="1013"/>
      <c r="DL172" s="1013"/>
      <c r="DM172" s="1013"/>
      <c r="DN172" s="1013"/>
      <c r="DO172" s="1013"/>
      <c r="DP172" s="1013"/>
      <c r="DQ172" s="1013"/>
      <c r="DR172" s="1013"/>
      <c r="DS172" s="1013"/>
      <c r="DT172" s="1013"/>
      <c r="DU172" s="1013"/>
      <c r="DV172" s="1013"/>
      <c r="DW172" s="1013"/>
      <c r="DX172" s="1013"/>
      <c r="DY172" s="1013"/>
      <c r="DZ172" s="1013"/>
      <c r="EA172" s="1013"/>
      <c r="EB172" s="1013"/>
      <c r="EC172" s="1013"/>
      <c r="ED172" s="1013"/>
      <c r="EE172" s="1013"/>
      <c r="EF172" s="1013"/>
      <c r="EG172" s="1013"/>
      <c r="EH172" s="1013"/>
      <c r="EI172" s="1013"/>
      <c r="EJ172" s="1013"/>
      <c r="EK172" s="1013"/>
      <c r="EL172" s="1013"/>
      <c r="EM172" s="1013"/>
      <c r="EN172" s="1013"/>
      <c r="EO172" s="1013"/>
      <c r="EP172" s="1013"/>
      <c r="EQ172" s="1013"/>
      <c r="ER172" s="1013"/>
      <c r="ES172" s="1013"/>
      <c r="ET172" s="1013"/>
      <c r="EU172" s="1013"/>
      <c r="EV172" s="1013"/>
      <c r="EW172" s="1013"/>
      <c r="EX172" s="1013"/>
      <c r="EY172" s="1013"/>
      <c r="EZ172" s="1013"/>
      <c r="FA172" s="1013"/>
      <c r="FB172" s="1013"/>
      <c r="FC172" s="1013"/>
      <c r="FD172" s="1013"/>
      <c r="FE172" s="1013"/>
      <c r="FF172" s="1013"/>
      <c r="FG172" s="1013"/>
      <c r="FH172" s="1013"/>
      <c r="FI172" s="1013"/>
      <c r="FJ172" s="1013"/>
      <c r="FK172" s="1013"/>
      <c r="FL172" s="1013"/>
      <c r="FM172" s="1013"/>
      <c r="FN172" s="1013"/>
      <c r="FO172" s="1013"/>
      <c r="FP172" s="1013"/>
      <c r="FQ172" s="1013"/>
      <c r="FR172" s="1013"/>
      <c r="FS172" s="1013"/>
      <c r="FT172" s="1013"/>
      <c r="FU172" s="1013"/>
      <c r="FV172" s="1013"/>
      <c r="FW172" s="1013"/>
      <c r="FX172" s="1013"/>
      <c r="FY172" s="1013"/>
      <c r="FZ172" s="1013"/>
      <c r="GA172" s="1013"/>
      <c r="GB172" s="1013"/>
      <c r="GC172" s="1013"/>
      <c r="GD172" s="1013"/>
      <c r="GE172" s="1013"/>
      <c r="GF172" s="1013"/>
      <c r="GG172" s="1013"/>
      <c r="GH172" s="1013"/>
      <c r="GI172" s="1013"/>
      <c r="GJ172" s="1013"/>
      <c r="GK172" s="1013"/>
      <c r="GL172" s="1013"/>
      <c r="GM172" s="1013"/>
      <c r="GN172" s="1013"/>
      <c r="GO172" s="1013"/>
      <c r="GP172" s="1013"/>
      <c r="GQ172" s="1013"/>
      <c r="GR172" s="1013"/>
      <c r="GS172" s="1013"/>
      <c r="GT172" s="1013"/>
      <c r="GU172" s="1013"/>
      <c r="GV172" s="1013"/>
      <c r="GW172" s="1013"/>
      <c r="GX172" s="1013"/>
      <c r="GY172" s="1013"/>
      <c r="GZ172" s="1013"/>
      <c r="HA172" s="1013"/>
    </row>
    <row r="173" spans="1:209" s="1003" customFormat="1" ht="30.75" customHeight="1">
      <c r="A173" s="950"/>
      <c r="B173" s="952"/>
      <c r="C173" s="964"/>
      <c r="D173" s="963"/>
      <c r="E173" s="963"/>
      <c r="F173" s="963"/>
      <c r="G173" s="963"/>
      <c r="H173" s="963"/>
      <c r="I173" s="963"/>
      <c r="J173" s="963"/>
      <c r="K173" s="963"/>
      <c r="L173" s="963"/>
      <c r="M173" s="963"/>
      <c r="N173" s="963"/>
      <c r="O173" s="963"/>
      <c r="P173" s="963"/>
      <c r="Q173" s="966" t="s">
        <v>1222</v>
      </c>
      <c r="R173" s="963"/>
      <c r="S173" s="963"/>
      <c r="T173" s="963"/>
      <c r="U173" s="963"/>
      <c r="V173" s="963"/>
      <c r="W173" s="963"/>
      <c r="X173" s="963"/>
      <c r="Y173" s="963"/>
      <c r="Z173" s="963"/>
      <c r="AA173" s="963"/>
      <c r="AB173" s="963"/>
      <c r="AC173" s="963"/>
      <c r="AD173" s="963"/>
      <c r="AE173" s="963"/>
      <c r="AF173" s="963"/>
      <c r="AG173" s="963"/>
      <c r="AH173" s="963"/>
      <c r="AI173" s="1022"/>
      <c r="AJ173" s="1023"/>
      <c r="AK173" s="1021"/>
      <c r="AL173" s="1021"/>
      <c r="AM173" s="1013"/>
      <c r="AN173" s="1013"/>
      <c r="AO173" s="1013"/>
      <c r="AP173" s="1013"/>
      <c r="AQ173" s="1013"/>
      <c r="AR173" s="1013"/>
      <c r="AS173" s="1013"/>
      <c r="AT173" s="1013"/>
      <c r="AU173" s="1013"/>
      <c r="AV173" s="1013"/>
      <c r="AW173" s="1013"/>
      <c r="AX173" s="1013"/>
      <c r="AY173" s="1013"/>
      <c r="AZ173" s="1013"/>
      <c r="BA173" s="1013"/>
      <c r="BB173" s="1013"/>
      <c r="BC173" s="1013"/>
      <c r="BD173" s="1013"/>
      <c r="BE173" s="1013"/>
      <c r="BF173" s="1013"/>
      <c r="BG173" s="1013"/>
      <c r="BH173" s="1013"/>
      <c r="BI173" s="1013"/>
      <c r="BJ173" s="1013"/>
      <c r="BK173" s="1013"/>
      <c r="BL173" s="1013"/>
      <c r="BM173" s="1013"/>
      <c r="BN173" s="1013"/>
      <c r="BO173" s="1013"/>
      <c r="BP173" s="1013"/>
      <c r="BQ173" s="1013"/>
      <c r="BR173" s="1013"/>
      <c r="BS173" s="1013"/>
      <c r="BT173" s="1013"/>
      <c r="BU173" s="1013"/>
      <c r="BV173" s="1013"/>
      <c r="BW173" s="1013"/>
      <c r="BX173" s="1013"/>
      <c r="BY173" s="1013"/>
      <c r="BZ173" s="1013"/>
      <c r="CA173" s="1013"/>
      <c r="CB173" s="1013"/>
      <c r="CC173" s="1013"/>
      <c r="CD173" s="1013"/>
      <c r="CE173" s="1013"/>
      <c r="CF173" s="1013"/>
      <c r="CG173" s="1013"/>
      <c r="CH173" s="1013"/>
      <c r="CI173" s="1013"/>
      <c r="CJ173" s="1013"/>
      <c r="CK173" s="1013"/>
      <c r="CL173" s="1013"/>
      <c r="CM173" s="1013"/>
      <c r="CN173" s="1013"/>
      <c r="CO173" s="1013"/>
      <c r="CP173" s="1013"/>
      <c r="CQ173" s="1013"/>
      <c r="CR173" s="1013"/>
      <c r="CS173" s="1013"/>
      <c r="CT173" s="1013"/>
      <c r="CU173" s="1013"/>
      <c r="CV173" s="1013"/>
      <c r="CW173" s="1013"/>
      <c r="CX173" s="1013"/>
      <c r="CY173" s="1013"/>
      <c r="CZ173" s="1013"/>
      <c r="DA173" s="1013"/>
      <c r="DB173" s="1013"/>
      <c r="DC173" s="1013"/>
      <c r="DD173" s="1013"/>
      <c r="DE173" s="1013"/>
      <c r="DF173" s="1013"/>
      <c r="DG173" s="1013"/>
      <c r="DH173" s="1013"/>
      <c r="DI173" s="1013"/>
      <c r="DJ173" s="1013"/>
      <c r="DK173" s="1013"/>
      <c r="DL173" s="1013"/>
      <c r="DM173" s="1013"/>
      <c r="DN173" s="1013"/>
      <c r="DO173" s="1013"/>
      <c r="DP173" s="1013"/>
      <c r="DQ173" s="1013"/>
      <c r="DR173" s="1013"/>
      <c r="DS173" s="1013"/>
      <c r="DT173" s="1013"/>
      <c r="DU173" s="1013"/>
      <c r="DV173" s="1013"/>
      <c r="DW173" s="1013"/>
      <c r="DX173" s="1013"/>
      <c r="DY173" s="1013"/>
      <c r="DZ173" s="1013"/>
      <c r="EA173" s="1013"/>
      <c r="EB173" s="1013"/>
      <c r="EC173" s="1013"/>
      <c r="ED173" s="1013"/>
      <c r="EE173" s="1013"/>
      <c r="EF173" s="1013"/>
      <c r="EG173" s="1013"/>
      <c r="EH173" s="1013"/>
      <c r="EI173" s="1013"/>
      <c r="EJ173" s="1013"/>
      <c r="EK173" s="1013"/>
      <c r="EL173" s="1013"/>
      <c r="EM173" s="1013"/>
      <c r="EN173" s="1013"/>
      <c r="EO173" s="1013"/>
      <c r="EP173" s="1013"/>
      <c r="EQ173" s="1013"/>
      <c r="ER173" s="1013"/>
      <c r="ES173" s="1013"/>
      <c r="ET173" s="1013"/>
      <c r="EU173" s="1013"/>
      <c r="EV173" s="1013"/>
      <c r="EW173" s="1013"/>
      <c r="EX173" s="1013"/>
      <c r="EY173" s="1013"/>
      <c r="EZ173" s="1013"/>
      <c r="FA173" s="1013"/>
      <c r="FB173" s="1013"/>
      <c r="FC173" s="1013"/>
      <c r="FD173" s="1013"/>
      <c r="FE173" s="1013"/>
      <c r="FF173" s="1013"/>
      <c r="FG173" s="1013"/>
      <c r="FH173" s="1013"/>
      <c r="FI173" s="1013"/>
      <c r="FJ173" s="1013"/>
      <c r="FK173" s="1013"/>
      <c r="FL173" s="1013"/>
      <c r="FM173" s="1013"/>
      <c r="FN173" s="1013"/>
      <c r="FO173" s="1013"/>
      <c r="FP173" s="1013"/>
      <c r="FQ173" s="1013"/>
      <c r="FR173" s="1013"/>
      <c r="FS173" s="1013"/>
      <c r="FT173" s="1013"/>
      <c r="FU173" s="1013"/>
      <c r="FV173" s="1013"/>
      <c r="FW173" s="1013"/>
      <c r="FX173" s="1013"/>
      <c r="FY173" s="1013"/>
      <c r="FZ173" s="1013"/>
      <c r="GA173" s="1013"/>
      <c r="GB173" s="1013"/>
      <c r="GC173" s="1013"/>
      <c r="GD173" s="1013"/>
      <c r="GE173" s="1013"/>
      <c r="GF173" s="1013"/>
      <c r="GG173" s="1013"/>
      <c r="GH173" s="1013"/>
      <c r="GI173" s="1013"/>
      <c r="GJ173" s="1013"/>
      <c r="GK173" s="1013"/>
      <c r="GL173" s="1013"/>
      <c r="GM173" s="1013"/>
      <c r="GN173" s="1013"/>
      <c r="GO173" s="1013"/>
      <c r="GP173" s="1013"/>
      <c r="GQ173" s="1013"/>
      <c r="GR173" s="1013"/>
      <c r="GS173" s="1013"/>
      <c r="GT173" s="1013"/>
      <c r="GU173" s="1013"/>
      <c r="GV173" s="1013"/>
      <c r="GW173" s="1013"/>
      <c r="GX173" s="1013"/>
      <c r="GY173" s="1013"/>
      <c r="GZ173" s="1013"/>
      <c r="HA173" s="1013"/>
    </row>
    <row r="174" spans="1:209" s="1003" customFormat="1" ht="33" customHeight="1">
      <c r="A174" s="994">
        <v>1</v>
      </c>
      <c r="B174" s="951" t="s">
        <v>841</v>
      </c>
      <c r="C174" s="952" t="s">
        <v>842</v>
      </c>
      <c r="D174" s="953" t="s">
        <v>171</v>
      </c>
      <c r="E174" s="954">
        <v>1</v>
      </c>
      <c r="F174" s="958" t="s">
        <v>74</v>
      </c>
      <c r="G174" s="994">
        <v>4.75</v>
      </c>
      <c r="H174" s="957">
        <v>17697</v>
      </c>
      <c r="I174" s="955">
        <v>2</v>
      </c>
      <c r="J174" s="958"/>
      <c r="K174" s="958">
        <f t="shared" ref="K174:K181" si="176">H174*G174*E174*I174</f>
        <v>168121.5</v>
      </c>
      <c r="L174" s="958">
        <v>0</v>
      </c>
      <c r="M174" s="958"/>
      <c r="N174" s="958"/>
      <c r="O174" s="958"/>
      <c r="P174" s="958"/>
      <c r="Q174" s="958"/>
      <c r="R174" s="958"/>
      <c r="S174" s="958"/>
      <c r="T174" s="958"/>
      <c r="U174" s="958"/>
      <c r="V174" s="958"/>
      <c r="W174" s="958"/>
      <c r="X174" s="958"/>
      <c r="Y174" s="958">
        <v>80</v>
      </c>
      <c r="Z174" s="959">
        <f>Y174*350%</f>
        <v>280</v>
      </c>
      <c r="AA174" s="959">
        <f t="shared" ref="AA174:AA181" si="177">K174*Z174%</f>
        <v>470740.19999999995</v>
      </c>
      <c r="AB174" s="959"/>
      <c r="AC174" s="959"/>
      <c r="AD174" s="958">
        <f t="shared" ref="AD174:AD181" si="178">K174*0.1</f>
        <v>16812.150000000001</v>
      </c>
      <c r="AE174" s="958">
        <f t="shared" ref="AE174:AE181" si="179">K174+N174+O174+Q174+S174+U174+W174+X174+AA174+AD174+AC174</f>
        <v>655673.85</v>
      </c>
      <c r="AF174" s="958">
        <f t="shared" ref="AF174:AF181" si="180">AE174*12</f>
        <v>7868086.1999999993</v>
      </c>
      <c r="AG174" s="958">
        <f>K174</f>
        <v>168121.5</v>
      </c>
      <c r="AH174" s="958">
        <f t="shared" ref="AH174:AH181" si="181">AE174*12+AG174</f>
        <v>8036207.6999999993</v>
      </c>
      <c r="AI174" s="1022"/>
      <c r="AJ174" s="1023"/>
      <c r="AK174" s="1021"/>
      <c r="AL174" s="1021"/>
      <c r="AM174" s="1013"/>
      <c r="AN174" s="1013"/>
      <c r="AO174" s="1013"/>
      <c r="AP174" s="1013"/>
      <c r="AQ174" s="1013"/>
      <c r="AR174" s="1013"/>
      <c r="AS174" s="1013"/>
      <c r="AT174" s="1013"/>
      <c r="AU174" s="1013"/>
      <c r="AV174" s="1013"/>
      <c r="AW174" s="1013"/>
      <c r="AX174" s="1013"/>
      <c r="AY174" s="1013"/>
      <c r="AZ174" s="1013"/>
      <c r="BA174" s="1013"/>
      <c r="BB174" s="1013"/>
      <c r="BC174" s="1013"/>
      <c r="BD174" s="1013"/>
      <c r="BE174" s="1013"/>
      <c r="BF174" s="1013"/>
      <c r="BG174" s="1013"/>
      <c r="BH174" s="1013"/>
      <c r="BI174" s="1013"/>
      <c r="BJ174" s="1013"/>
      <c r="BK174" s="1013"/>
      <c r="BL174" s="1013"/>
      <c r="BM174" s="1013"/>
      <c r="BN174" s="1013"/>
      <c r="BO174" s="1013"/>
      <c r="BP174" s="1013"/>
      <c r="BQ174" s="1013"/>
      <c r="BR174" s="1013"/>
      <c r="BS174" s="1013"/>
      <c r="BT174" s="1013"/>
      <c r="BU174" s="1013"/>
      <c r="BV174" s="1013"/>
      <c r="BW174" s="1013"/>
      <c r="BX174" s="1013"/>
      <c r="BY174" s="1013"/>
      <c r="BZ174" s="1013"/>
      <c r="CA174" s="1013"/>
      <c r="CB174" s="1013"/>
      <c r="CC174" s="1013"/>
      <c r="CD174" s="1013"/>
      <c r="CE174" s="1013"/>
      <c r="CF174" s="1013"/>
      <c r="CG174" s="1013"/>
      <c r="CH174" s="1013"/>
      <c r="CI174" s="1013"/>
      <c r="CJ174" s="1013"/>
      <c r="CK174" s="1013"/>
      <c r="CL174" s="1013"/>
      <c r="CM174" s="1013"/>
      <c r="CN174" s="1013"/>
      <c r="CO174" s="1013"/>
      <c r="CP174" s="1013"/>
      <c r="CQ174" s="1013"/>
      <c r="CR174" s="1013"/>
      <c r="CS174" s="1013"/>
      <c r="CT174" s="1013"/>
      <c r="CU174" s="1013"/>
      <c r="CV174" s="1013"/>
      <c r="CW174" s="1013"/>
      <c r="CX174" s="1013"/>
      <c r="CY174" s="1013"/>
      <c r="CZ174" s="1013"/>
      <c r="DA174" s="1013"/>
      <c r="DB174" s="1013"/>
      <c r="DC174" s="1013"/>
      <c r="DD174" s="1013"/>
      <c r="DE174" s="1013"/>
      <c r="DF174" s="1013"/>
      <c r="DG174" s="1013"/>
      <c r="DH174" s="1013"/>
      <c r="DI174" s="1013"/>
      <c r="DJ174" s="1013"/>
      <c r="DK174" s="1013"/>
      <c r="DL174" s="1013"/>
      <c r="DM174" s="1013"/>
      <c r="DN174" s="1013"/>
      <c r="DO174" s="1013"/>
      <c r="DP174" s="1013"/>
      <c r="DQ174" s="1013"/>
      <c r="DR174" s="1013"/>
      <c r="DS174" s="1013"/>
      <c r="DT174" s="1013"/>
      <c r="DU174" s="1013"/>
      <c r="DV174" s="1013"/>
      <c r="DW174" s="1013"/>
      <c r="DX174" s="1013"/>
      <c r="DY174" s="1013"/>
      <c r="DZ174" s="1013"/>
      <c r="EA174" s="1013"/>
      <c r="EB174" s="1013"/>
      <c r="EC174" s="1013"/>
      <c r="ED174" s="1013"/>
      <c r="EE174" s="1013"/>
      <c r="EF174" s="1013"/>
      <c r="EG174" s="1013"/>
      <c r="EH174" s="1013"/>
      <c r="EI174" s="1013"/>
      <c r="EJ174" s="1013"/>
      <c r="EK174" s="1013"/>
      <c r="EL174" s="1013"/>
      <c r="EM174" s="1013"/>
      <c r="EN174" s="1013"/>
      <c r="EO174" s="1013"/>
      <c r="EP174" s="1013"/>
      <c r="EQ174" s="1013"/>
      <c r="ER174" s="1013"/>
      <c r="ES174" s="1013"/>
      <c r="ET174" s="1013"/>
      <c r="EU174" s="1013"/>
      <c r="EV174" s="1013"/>
      <c r="EW174" s="1013"/>
      <c r="EX174" s="1013"/>
      <c r="EY174" s="1013"/>
      <c r="EZ174" s="1013"/>
      <c r="FA174" s="1013"/>
      <c r="FB174" s="1013"/>
      <c r="FC174" s="1013"/>
      <c r="FD174" s="1013"/>
      <c r="FE174" s="1013"/>
      <c r="FF174" s="1013"/>
      <c r="FG174" s="1013"/>
      <c r="FH174" s="1013"/>
      <c r="FI174" s="1013"/>
      <c r="FJ174" s="1013"/>
      <c r="FK174" s="1013"/>
      <c r="FL174" s="1013"/>
      <c r="FM174" s="1013"/>
      <c r="FN174" s="1013"/>
      <c r="FO174" s="1013"/>
      <c r="FP174" s="1013"/>
      <c r="FQ174" s="1013"/>
      <c r="FR174" s="1013"/>
      <c r="FS174" s="1013"/>
      <c r="FT174" s="1013"/>
      <c r="FU174" s="1013"/>
      <c r="FV174" s="1013"/>
      <c r="FW174" s="1013"/>
      <c r="FX174" s="1013"/>
      <c r="FY174" s="1013"/>
      <c r="FZ174" s="1013"/>
      <c r="GA174" s="1013"/>
      <c r="GB174" s="1013"/>
      <c r="GC174" s="1013"/>
      <c r="GD174" s="1013"/>
      <c r="GE174" s="1013"/>
      <c r="GF174" s="1013"/>
      <c r="GG174" s="1013"/>
      <c r="GH174" s="1013"/>
      <c r="GI174" s="1013"/>
      <c r="GJ174" s="1013"/>
      <c r="GK174" s="1013"/>
      <c r="GL174" s="1013"/>
      <c r="GM174" s="1013"/>
      <c r="GN174" s="1013"/>
      <c r="GO174" s="1013"/>
      <c r="GP174" s="1013"/>
      <c r="GQ174" s="1013"/>
      <c r="GR174" s="1013"/>
      <c r="GS174" s="1013"/>
      <c r="GT174" s="1013"/>
      <c r="GU174" s="1013"/>
      <c r="GV174" s="1013"/>
      <c r="GW174" s="1013"/>
      <c r="GX174" s="1013"/>
      <c r="GY174" s="1013"/>
      <c r="GZ174" s="1013"/>
      <c r="HA174" s="1013"/>
    </row>
    <row r="175" spans="1:209" s="1003" customFormat="1" ht="30.75" customHeight="1">
      <c r="A175" s="994">
        <v>2</v>
      </c>
      <c r="B175" s="951" t="s">
        <v>1223</v>
      </c>
      <c r="C175" s="951" t="s">
        <v>844</v>
      </c>
      <c r="D175" s="953" t="s">
        <v>173</v>
      </c>
      <c r="E175" s="954">
        <v>1</v>
      </c>
      <c r="F175" s="958" t="s">
        <v>772</v>
      </c>
      <c r="G175" s="983">
        <v>3.31</v>
      </c>
      <c r="H175" s="957">
        <v>17697</v>
      </c>
      <c r="I175" s="955">
        <v>2</v>
      </c>
      <c r="J175" s="958"/>
      <c r="K175" s="958">
        <f t="shared" si="176"/>
        <v>117154.14</v>
      </c>
      <c r="L175" s="958">
        <v>0</v>
      </c>
      <c r="M175" s="958"/>
      <c r="N175" s="958"/>
      <c r="O175" s="958">
        <f t="shared" ref="O175:O181" si="182">K175/164*0.5*2.67</f>
        <v>953.66327378048777</v>
      </c>
      <c r="P175" s="958"/>
      <c r="Q175" s="958"/>
      <c r="R175" s="958"/>
      <c r="S175" s="958"/>
      <c r="T175" s="958"/>
      <c r="U175" s="958"/>
      <c r="V175" s="958"/>
      <c r="W175" s="958"/>
      <c r="X175" s="958"/>
      <c r="Y175" s="958">
        <v>60</v>
      </c>
      <c r="Z175" s="959">
        <f t="shared" ref="Z175:Z181" si="183">Y175*350%</f>
        <v>210</v>
      </c>
      <c r="AA175" s="959">
        <f t="shared" si="177"/>
        <v>246023.69400000002</v>
      </c>
      <c r="AB175" s="959"/>
      <c r="AC175" s="959"/>
      <c r="AD175" s="958">
        <f t="shared" si="178"/>
        <v>11715.414000000001</v>
      </c>
      <c r="AE175" s="958">
        <f t="shared" si="179"/>
        <v>375846.91127378051</v>
      </c>
      <c r="AF175" s="958">
        <f t="shared" si="180"/>
        <v>4510162.9352853661</v>
      </c>
      <c r="AG175" s="958">
        <f t="shared" ref="AG175:AG181" si="184">K175</f>
        <v>117154.14</v>
      </c>
      <c r="AH175" s="958">
        <f t="shared" si="181"/>
        <v>4627317.0752853658</v>
      </c>
      <c r="AI175" s="1022"/>
      <c r="AJ175" s="1023"/>
      <c r="AK175" s="1021"/>
      <c r="AL175" s="1021"/>
      <c r="AM175" s="1013"/>
      <c r="AN175" s="1013"/>
      <c r="AO175" s="1013"/>
      <c r="AP175" s="1013"/>
      <c r="AQ175" s="1013"/>
      <c r="AR175" s="1013"/>
      <c r="AS175" s="1013"/>
      <c r="AT175" s="1013"/>
      <c r="AU175" s="1013"/>
      <c r="AV175" s="1013"/>
      <c r="AW175" s="1013"/>
      <c r="AX175" s="1013"/>
      <c r="AY175" s="1013"/>
      <c r="AZ175" s="1013"/>
      <c r="BA175" s="1013"/>
      <c r="BB175" s="1013"/>
      <c r="BC175" s="1013"/>
      <c r="BD175" s="1013"/>
      <c r="BE175" s="1013"/>
      <c r="BF175" s="1013"/>
      <c r="BG175" s="1013"/>
      <c r="BH175" s="1013"/>
      <c r="BI175" s="1013"/>
      <c r="BJ175" s="1013"/>
      <c r="BK175" s="1013"/>
      <c r="BL175" s="1013"/>
      <c r="BM175" s="1013"/>
      <c r="BN175" s="1013"/>
      <c r="BO175" s="1013"/>
      <c r="BP175" s="1013"/>
      <c r="BQ175" s="1013"/>
      <c r="BR175" s="1013"/>
      <c r="BS175" s="1013"/>
      <c r="BT175" s="1013"/>
      <c r="BU175" s="1013"/>
      <c r="BV175" s="1013"/>
      <c r="BW175" s="1013"/>
      <c r="BX175" s="1013"/>
      <c r="BY175" s="1013"/>
      <c r="BZ175" s="1013"/>
      <c r="CA175" s="1013"/>
      <c r="CB175" s="1013"/>
      <c r="CC175" s="1013"/>
      <c r="CD175" s="1013"/>
      <c r="CE175" s="1013"/>
      <c r="CF175" s="1013"/>
      <c r="CG175" s="1013"/>
      <c r="CH175" s="1013"/>
      <c r="CI175" s="1013"/>
      <c r="CJ175" s="1013"/>
      <c r="CK175" s="1013"/>
      <c r="CL175" s="1013"/>
      <c r="CM175" s="1013"/>
      <c r="CN175" s="1013"/>
      <c r="CO175" s="1013"/>
      <c r="CP175" s="1013"/>
      <c r="CQ175" s="1013"/>
      <c r="CR175" s="1013"/>
      <c r="CS175" s="1013"/>
      <c r="CT175" s="1013"/>
      <c r="CU175" s="1013"/>
      <c r="CV175" s="1013"/>
      <c r="CW175" s="1013"/>
      <c r="CX175" s="1013"/>
      <c r="CY175" s="1013"/>
      <c r="CZ175" s="1013"/>
      <c r="DA175" s="1013"/>
      <c r="DB175" s="1013"/>
      <c r="DC175" s="1013"/>
      <c r="DD175" s="1013"/>
      <c r="DE175" s="1013"/>
      <c r="DF175" s="1013"/>
      <c r="DG175" s="1013"/>
      <c r="DH175" s="1013"/>
      <c r="DI175" s="1013"/>
      <c r="DJ175" s="1013"/>
      <c r="DK175" s="1013"/>
      <c r="DL175" s="1013"/>
      <c r="DM175" s="1013"/>
      <c r="DN175" s="1013"/>
      <c r="DO175" s="1013"/>
      <c r="DP175" s="1013"/>
      <c r="DQ175" s="1013"/>
      <c r="DR175" s="1013"/>
      <c r="DS175" s="1013"/>
      <c r="DT175" s="1013"/>
      <c r="DU175" s="1013"/>
      <c r="DV175" s="1013"/>
      <c r="DW175" s="1013"/>
      <c r="DX175" s="1013"/>
      <c r="DY175" s="1013"/>
      <c r="DZ175" s="1013"/>
      <c r="EA175" s="1013"/>
      <c r="EB175" s="1013"/>
      <c r="EC175" s="1013"/>
      <c r="ED175" s="1013"/>
      <c r="EE175" s="1013"/>
      <c r="EF175" s="1013"/>
      <c r="EG175" s="1013"/>
      <c r="EH175" s="1013"/>
      <c r="EI175" s="1013"/>
      <c r="EJ175" s="1013"/>
      <c r="EK175" s="1013"/>
      <c r="EL175" s="1013"/>
      <c r="EM175" s="1013"/>
      <c r="EN175" s="1013"/>
      <c r="EO175" s="1013"/>
      <c r="EP175" s="1013"/>
      <c r="EQ175" s="1013"/>
      <c r="ER175" s="1013"/>
      <c r="ES175" s="1013"/>
      <c r="ET175" s="1013"/>
      <c r="EU175" s="1013"/>
      <c r="EV175" s="1013"/>
      <c r="EW175" s="1013"/>
      <c r="EX175" s="1013"/>
      <c r="EY175" s="1013"/>
      <c r="EZ175" s="1013"/>
      <c r="FA175" s="1013"/>
      <c r="FB175" s="1013"/>
      <c r="FC175" s="1013"/>
      <c r="FD175" s="1013"/>
      <c r="FE175" s="1013"/>
      <c r="FF175" s="1013"/>
      <c r="FG175" s="1013"/>
      <c r="FH175" s="1013"/>
      <c r="FI175" s="1013"/>
      <c r="FJ175" s="1013"/>
      <c r="FK175" s="1013"/>
      <c r="FL175" s="1013"/>
      <c r="FM175" s="1013"/>
      <c r="FN175" s="1013"/>
      <c r="FO175" s="1013"/>
      <c r="FP175" s="1013"/>
      <c r="FQ175" s="1013"/>
      <c r="FR175" s="1013"/>
      <c r="FS175" s="1013"/>
      <c r="FT175" s="1013"/>
      <c r="FU175" s="1013"/>
      <c r="FV175" s="1013"/>
      <c r="FW175" s="1013"/>
      <c r="FX175" s="1013"/>
      <c r="FY175" s="1013"/>
      <c r="FZ175" s="1013"/>
      <c r="GA175" s="1013"/>
      <c r="GB175" s="1013"/>
      <c r="GC175" s="1013"/>
      <c r="GD175" s="1013"/>
      <c r="GE175" s="1013"/>
      <c r="GF175" s="1013"/>
      <c r="GG175" s="1013"/>
      <c r="GH175" s="1013"/>
      <c r="GI175" s="1013"/>
      <c r="GJ175" s="1013"/>
      <c r="GK175" s="1013"/>
      <c r="GL175" s="1013"/>
      <c r="GM175" s="1013"/>
      <c r="GN175" s="1013"/>
      <c r="GO175" s="1013"/>
      <c r="GP175" s="1013"/>
      <c r="GQ175" s="1013"/>
      <c r="GR175" s="1013"/>
      <c r="GS175" s="1013"/>
      <c r="GT175" s="1013"/>
      <c r="GU175" s="1013"/>
      <c r="GV175" s="1013"/>
      <c r="GW175" s="1013"/>
      <c r="GX175" s="1013"/>
      <c r="GY175" s="1013"/>
      <c r="GZ175" s="1013"/>
      <c r="HA175" s="1013"/>
    </row>
    <row r="176" spans="1:209" s="1003" customFormat="1" ht="30.75" customHeight="1">
      <c r="A176" s="994">
        <v>3</v>
      </c>
      <c r="B176" s="951" t="s">
        <v>843</v>
      </c>
      <c r="C176" s="951" t="s">
        <v>844</v>
      </c>
      <c r="D176" s="953" t="s">
        <v>173</v>
      </c>
      <c r="E176" s="954">
        <v>4</v>
      </c>
      <c r="F176" s="958" t="s">
        <v>772</v>
      </c>
      <c r="G176" s="983">
        <v>3.31</v>
      </c>
      <c r="H176" s="957">
        <v>17697</v>
      </c>
      <c r="I176" s="955">
        <v>2</v>
      </c>
      <c r="J176" s="958"/>
      <c r="K176" s="958">
        <f t="shared" si="176"/>
        <v>468616.56</v>
      </c>
      <c r="L176" s="958">
        <v>0</v>
      </c>
      <c r="M176" s="958"/>
      <c r="N176" s="958"/>
      <c r="O176" s="958">
        <f t="shared" si="182"/>
        <v>3814.6530951219511</v>
      </c>
      <c r="P176" s="958"/>
      <c r="Q176" s="958"/>
      <c r="R176" s="958"/>
      <c r="S176" s="958"/>
      <c r="T176" s="958"/>
      <c r="U176" s="958"/>
      <c r="V176" s="958"/>
      <c r="W176" s="958"/>
      <c r="X176" s="958"/>
      <c r="Y176" s="958">
        <v>30</v>
      </c>
      <c r="Z176" s="959">
        <f t="shared" si="183"/>
        <v>105</v>
      </c>
      <c r="AA176" s="959">
        <f t="shared" si="177"/>
        <v>492047.38800000004</v>
      </c>
      <c r="AB176" s="959"/>
      <c r="AC176" s="959"/>
      <c r="AD176" s="958">
        <f t="shared" si="178"/>
        <v>46861.656000000003</v>
      </c>
      <c r="AE176" s="958">
        <f t="shared" si="179"/>
        <v>1011340.257095122</v>
      </c>
      <c r="AF176" s="958">
        <f t="shared" si="180"/>
        <v>12136083.085141465</v>
      </c>
      <c r="AG176" s="958">
        <f t="shared" si="184"/>
        <v>468616.56</v>
      </c>
      <c r="AH176" s="958">
        <f t="shared" si="181"/>
        <v>12604699.645141466</v>
      </c>
      <c r="AI176" s="1022"/>
      <c r="AJ176" s="1023"/>
      <c r="AK176" s="1021"/>
      <c r="AL176" s="1021"/>
      <c r="AM176" s="1013"/>
      <c r="AN176" s="1013"/>
      <c r="AO176" s="1013"/>
      <c r="AP176" s="1013"/>
      <c r="AQ176" s="1013"/>
      <c r="AR176" s="1013"/>
      <c r="AS176" s="1013"/>
      <c r="AT176" s="1013"/>
      <c r="AU176" s="1013"/>
      <c r="AV176" s="1013"/>
      <c r="AW176" s="1013"/>
      <c r="AX176" s="1013"/>
      <c r="AY176" s="1013"/>
      <c r="AZ176" s="1013"/>
      <c r="BA176" s="1013"/>
      <c r="BB176" s="1013"/>
      <c r="BC176" s="1013"/>
      <c r="BD176" s="1013"/>
      <c r="BE176" s="1013"/>
      <c r="BF176" s="1013"/>
      <c r="BG176" s="1013"/>
      <c r="BH176" s="1013"/>
      <c r="BI176" s="1013"/>
      <c r="BJ176" s="1013"/>
      <c r="BK176" s="1013"/>
      <c r="BL176" s="1013"/>
      <c r="BM176" s="1013"/>
      <c r="BN176" s="1013"/>
      <c r="BO176" s="1013"/>
      <c r="BP176" s="1013"/>
      <c r="BQ176" s="1013"/>
      <c r="BR176" s="1013"/>
      <c r="BS176" s="1013"/>
      <c r="BT176" s="1013"/>
      <c r="BU176" s="1013"/>
      <c r="BV176" s="1013"/>
      <c r="BW176" s="1013"/>
      <c r="BX176" s="1013"/>
      <c r="BY176" s="1013"/>
      <c r="BZ176" s="1013"/>
      <c r="CA176" s="1013"/>
      <c r="CB176" s="1013"/>
      <c r="CC176" s="1013"/>
      <c r="CD176" s="1013"/>
      <c r="CE176" s="1013"/>
      <c r="CF176" s="1013"/>
      <c r="CG176" s="1013"/>
      <c r="CH176" s="1013"/>
      <c r="CI176" s="1013"/>
      <c r="CJ176" s="1013"/>
      <c r="CK176" s="1013"/>
      <c r="CL176" s="1013"/>
      <c r="CM176" s="1013"/>
      <c r="CN176" s="1013"/>
      <c r="CO176" s="1013"/>
      <c r="CP176" s="1013"/>
      <c r="CQ176" s="1013"/>
      <c r="CR176" s="1013"/>
      <c r="CS176" s="1013"/>
      <c r="CT176" s="1013"/>
      <c r="CU176" s="1013"/>
      <c r="CV176" s="1013"/>
      <c r="CW176" s="1013"/>
      <c r="CX176" s="1013"/>
      <c r="CY176" s="1013"/>
      <c r="CZ176" s="1013"/>
      <c r="DA176" s="1013"/>
      <c r="DB176" s="1013"/>
      <c r="DC176" s="1013"/>
      <c r="DD176" s="1013"/>
      <c r="DE176" s="1013"/>
      <c r="DF176" s="1013"/>
      <c r="DG176" s="1013"/>
      <c r="DH176" s="1013"/>
      <c r="DI176" s="1013"/>
      <c r="DJ176" s="1013"/>
      <c r="DK176" s="1013"/>
      <c r="DL176" s="1013"/>
      <c r="DM176" s="1013"/>
      <c r="DN176" s="1013"/>
      <c r="DO176" s="1013"/>
      <c r="DP176" s="1013"/>
      <c r="DQ176" s="1013"/>
      <c r="DR176" s="1013"/>
      <c r="DS176" s="1013"/>
      <c r="DT176" s="1013"/>
      <c r="DU176" s="1013"/>
      <c r="DV176" s="1013"/>
      <c r="DW176" s="1013"/>
      <c r="DX176" s="1013"/>
      <c r="DY176" s="1013"/>
      <c r="DZ176" s="1013"/>
      <c r="EA176" s="1013"/>
      <c r="EB176" s="1013"/>
      <c r="EC176" s="1013"/>
      <c r="ED176" s="1013"/>
      <c r="EE176" s="1013"/>
      <c r="EF176" s="1013"/>
      <c r="EG176" s="1013"/>
      <c r="EH176" s="1013"/>
      <c r="EI176" s="1013"/>
      <c r="EJ176" s="1013"/>
      <c r="EK176" s="1013"/>
      <c r="EL176" s="1013"/>
      <c r="EM176" s="1013"/>
      <c r="EN176" s="1013"/>
      <c r="EO176" s="1013"/>
      <c r="EP176" s="1013"/>
      <c r="EQ176" s="1013"/>
      <c r="ER176" s="1013"/>
      <c r="ES176" s="1013"/>
      <c r="ET176" s="1013"/>
      <c r="EU176" s="1013"/>
      <c r="EV176" s="1013"/>
      <c r="EW176" s="1013"/>
      <c r="EX176" s="1013"/>
      <c r="EY176" s="1013"/>
      <c r="EZ176" s="1013"/>
      <c r="FA176" s="1013"/>
      <c r="FB176" s="1013"/>
      <c r="FC176" s="1013"/>
      <c r="FD176" s="1013"/>
      <c r="FE176" s="1013"/>
      <c r="FF176" s="1013"/>
      <c r="FG176" s="1013"/>
      <c r="FH176" s="1013"/>
      <c r="FI176" s="1013"/>
      <c r="FJ176" s="1013"/>
      <c r="FK176" s="1013"/>
      <c r="FL176" s="1013"/>
      <c r="FM176" s="1013"/>
      <c r="FN176" s="1013"/>
      <c r="FO176" s="1013"/>
      <c r="FP176" s="1013"/>
      <c r="FQ176" s="1013"/>
      <c r="FR176" s="1013"/>
      <c r="FS176" s="1013"/>
      <c r="FT176" s="1013"/>
      <c r="FU176" s="1013"/>
      <c r="FV176" s="1013"/>
      <c r="FW176" s="1013"/>
      <c r="FX176" s="1013"/>
      <c r="FY176" s="1013"/>
      <c r="FZ176" s="1013"/>
      <c r="GA176" s="1013"/>
      <c r="GB176" s="1013"/>
      <c r="GC176" s="1013"/>
      <c r="GD176" s="1013"/>
      <c r="GE176" s="1013"/>
      <c r="GF176" s="1013"/>
      <c r="GG176" s="1013"/>
      <c r="GH176" s="1013"/>
      <c r="GI176" s="1013"/>
      <c r="GJ176" s="1013"/>
      <c r="GK176" s="1013"/>
      <c r="GL176" s="1013"/>
      <c r="GM176" s="1013"/>
      <c r="GN176" s="1013"/>
      <c r="GO176" s="1013"/>
      <c r="GP176" s="1013"/>
      <c r="GQ176" s="1013"/>
      <c r="GR176" s="1013"/>
      <c r="GS176" s="1013"/>
      <c r="GT176" s="1013"/>
      <c r="GU176" s="1013"/>
      <c r="GV176" s="1013"/>
      <c r="GW176" s="1013"/>
      <c r="GX176" s="1013"/>
      <c r="GY176" s="1013"/>
      <c r="GZ176" s="1013"/>
      <c r="HA176" s="1013"/>
    </row>
    <row r="177" spans="1:209" s="1003" customFormat="1" ht="30.75" customHeight="1">
      <c r="A177" s="994">
        <v>4</v>
      </c>
      <c r="B177" s="951" t="s">
        <v>845</v>
      </c>
      <c r="C177" s="952" t="s">
        <v>846</v>
      </c>
      <c r="D177" s="1002">
        <v>6</v>
      </c>
      <c r="E177" s="954">
        <v>4</v>
      </c>
      <c r="F177" s="955" t="s">
        <v>800</v>
      </c>
      <c r="G177" s="994">
        <v>2.97</v>
      </c>
      <c r="H177" s="957">
        <v>17697</v>
      </c>
      <c r="I177" s="955">
        <v>2</v>
      </c>
      <c r="J177" s="958"/>
      <c r="K177" s="958">
        <f t="shared" si="176"/>
        <v>420480.72000000003</v>
      </c>
      <c r="L177" s="958">
        <v>0</v>
      </c>
      <c r="M177" s="958"/>
      <c r="N177" s="958"/>
      <c r="O177" s="958">
        <f t="shared" si="182"/>
        <v>3422.8156170731709</v>
      </c>
      <c r="P177" s="958"/>
      <c r="Q177" s="958"/>
      <c r="R177" s="958"/>
      <c r="S177" s="958"/>
      <c r="T177" s="958">
        <v>30</v>
      </c>
      <c r="U177" s="958">
        <f t="shared" ref="U177:U179" si="185">E177*H177*T177%</f>
        <v>21236.399999999998</v>
      </c>
      <c r="V177" s="958"/>
      <c r="W177" s="958"/>
      <c r="X177" s="958"/>
      <c r="Y177" s="958">
        <v>40</v>
      </c>
      <c r="Z177" s="959">
        <f t="shared" si="183"/>
        <v>140</v>
      </c>
      <c r="AA177" s="959">
        <f t="shared" si="177"/>
        <v>588673.00800000003</v>
      </c>
      <c r="AB177" s="959"/>
      <c r="AC177" s="959"/>
      <c r="AD177" s="958">
        <f t="shared" si="178"/>
        <v>42048.072000000007</v>
      </c>
      <c r="AE177" s="958">
        <f t="shared" si="179"/>
        <v>1075861.0156170733</v>
      </c>
      <c r="AF177" s="958">
        <f t="shared" si="180"/>
        <v>12910332.187404878</v>
      </c>
      <c r="AG177" s="958">
        <f t="shared" si="184"/>
        <v>420480.72000000003</v>
      </c>
      <c r="AH177" s="958">
        <f t="shared" si="181"/>
        <v>13330812.907404879</v>
      </c>
      <c r="AI177" s="1022"/>
      <c r="AJ177" s="1023"/>
      <c r="AK177" s="1021"/>
      <c r="AL177" s="1021"/>
      <c r="AM177" s="1013"/>
      <c r="AN177" s="1013"/>
      <c r="AO177" s="1013"/>
      <c r="AP177" s="1013"/>
      <c r="AQ177" s="1013"/>
      <c r="AR177" s="1013"/>
      <c r="AS177" s="1013"/>
      <c r="AT177" s="1013"/>
      <c r="AU177" s="1013"/>
      <c r="AV177" s="1013"/>
      <c r="AW177" s="1013"/>
      <c r="AX177" s="1013"/>
      <c r="AY177" s="1013"/>
      <c r="AZ177" s="1013"/>
      <c r="BA177" s="1013"/>
      <c r="BB177" s="1013"/>
      <c r="BC177" s="1013"/>
      <c r="BD177" s="1013"/>
      <c r="BE177" s="1013"/>
      <c r="BF177" s="1013"/>
      <c r="BG177" s="1013"/>
      <c r="BH177" s="1013"/>
      <c r="BI177" s="1013"/>
      <c r="BJ177" s="1013"/>
      <c r="BK177" s="1013"/>
      <c r="BL177" s="1013"/>
      <c r="BM177" s="1013"/>
      <c r="BN177" s="1013"/>
      <c r="BO177" s="1013"/>
      <c r="BP177" s="1013"/>
      <c r="BQ177" s="1013"/>
      <c r="BR177" s="1013"/>
      <c r="BS177" s="1013"/>
      <c r="BT177" s="1013"/>
      <c r="BU177" s="1013"/>
      <c r="BV177" s="1013"/>
      <c r="BW177" s="1013"/>
      <c r="BX177" s="1013"/>
      <c r="BY177" s="1013"/>
      <c r="BZ177" s="1013"/>
      <c r="CA177" s="1013"/>
      <c r="CB177" s="1013"/>
      <c r="CC177" s="1013"/>
      <c r="CD177" s="1013"/>
      <c r="CE177" s="1013"/>
      <c r="CF177" s="1013"/>
      <c r="CG177" s="1013"/>
      <c r="CH177" s="1013"/>
      <c r="CI177" s="1013"/>
      <c r="CJ177" s="1013"/>
      <c r="CK177" s="1013"/>
      <c r="CL177" s="1013"/>
      <c r="CM177" s="1013"/>
      <c r="CN177" s="1013"/>
      <c r="CO177" s="1013"/>
      <c r="CP177" s="1013"/>
      <c r="CQ177" s="1013"/>
      <c r="CR177" s="1013"/>
      <c r="CS177" s="1013"/>
      <c r="CT177" s="1013"/>
      <c r="CU177" s="1013"/>
      <c r="CV177" s="1013"/>
      <c r="CW177" s="1013"/>
      <c r="CX177" s="1013"/>
      <c r="CY177" s="1013"/>
      <c r="CZ177" s="1013"/>
      <c r="DA177" s="1013"/>
      <c r="DB177" s="1013"/>
      <c r="DC177" s="1013"/>
      <c r="DD177" s="1013"/>
      <c r="DE177" s="1013"/>
      <c r="DF177" s="1013"/>
      <c r="DG177" s="1013"/>
      <c r="DH177" s="1013"/>
      <c r="DI177" s="1013"/>
      <c r="DJ177" s="1013"/>
      <c r="DK177" s="1013"/>
      <c r="DL177" s="1013"/>
      <c r="DM177" s="1013"/>
      <c r="DN177" s="1013"/>
      <c r="DO177" s="1013"/>
      <c r="DP177" s="1013"/>
      <c r="DQ177" s="1013"/>
      <c r="DR177" s="1013"/>
      <c r="DS177" s="1013"/>
      <c r="DT177" s="1013"/>
      <c r="DU177" s="1013"/>
      <c r="DV177" s="1013"/>
      <c r="DW177" s="1013"/>
      <c r="DX177" s="1013"/>
      <c r="DY177" s="1013"/>
      <c r="DZ177" s="1013"/>
      <c r="EA177" s="1013"/>
      <c r="EB177" s="1013"/>
      <c r="EC177" s="1013"/>
      <c r="ED177" s="1013"/>
      <c r="EE177" s="1013"/>
      <c r="EF177" s="1013"/>
      <c r="EG177" s="1013"/>
      <c r="EH177" s="1013"/>
      <c r="EI177" s="1013"/>
      <c r="EJ177" s="1013"/>
      <c r="EK177" s="1013"/>
      <c r="EL177" s="1013"/>
      <c r="EM177" s="1013"/>
      <c r="EN177" s="1013"/>
      <c r="EO177" s="1013"/>
      <c r="EP177" s="1013"/>
      <c r="EQ177" s="1013"/>
      <c r="ER177" s="1013"/>
      <c r="ES177" s="1013"/>
      <c r="ET177" s="1013"/>
      <c r="EU177" s="1013"/>
      <c r="EV177" s="1013"/>
      <c r="EW177" s="1013"/>
      <c r="EX177" s="1013"/>
      <c r="EY177" s="1013"/>
      <c r="EZ177" s="1013"/>
      <c r="FA177" s="1013"/>
      <c r="FB177" s="1013"/>
      <c r="FC177" s="1013"/>
      <c r="FD177" s="1013"/>
      <c r="FE177" s="1013"/>
      <c r="FF177" s="1013"/>
      <c r="FG177" s="1013"/>
      <c r="FH177" s="1013"/>
      <c r="FI177" s="1013"/>
      <c r="FJ177" s="1013"/>
      <c r="FK177" s="1013"/>
      <c r="FL177" s="1013"/>
      <c r="FM177" s="1013"/>
      <c r="FN177" s="1013"/>
      <c r="FO177" s="1013"/>
      <c r="FP177" s="1013"/>
      <c r="FQ177" s="1013"/>
      <c r="FR177" s="1013"/>
      <c r="FS177" s="1013"/>
      <c r="FT177" s="1013"/>
      <c r="FU177" s="1013"/>
      <c r="FV177" s="1013"/>
      <c r="FW177" s="1013"/>
      <c r="FX177" s="1013"/>
      <c r="FY177" s="1013"/>
      <c r="FZ177" s="1013"/>
      <c r="GA177" s="1013"/>
      <c r="GB177" s="1013"/>
      <c r="GC177" s="1013"/>
      <c r="GD177" s="1013"/>
      <c r="GE177" s="1013"/>
      <c r="GF177" s="1013"/>
      <c r="GG177" s="1013"/>
      <c r="GH177" s="1013"/>
      <c r="GI177" s="1013"/>
      <c r="GJ177" s="1013"/>
      <c r="GK177" s="1013"/>
      <c r="GL177" s="1013"/>
      <c r="GM177" s="1013"/>
      <c r="GN177" s="1013"/>
      <c r="GO177" s="1013"/>
      <c r="GP177" s="1013"/>
      <c r="GQ177" s="1013"/>
      <c r="GR177" s="1013"/>
      <c r="GS177" s="1013"/>
      <c r="GT177" s="1013"/>
      <c r="GU177" s="1013"/>
      <c r="GV177" s="1013"/>
      <c r="GW177" s="1013"/>
      <c r="GX177" s="1013"/>
      <c r="GY177" s="1013"/>
      <c r="GZ177" s="1013"/>
      <c r="HA177" s="1013"/>
    </row>
    <row r="178" spans="1:209" s="1003" customFormat="1" ht="30.75" customHeight="1">
      <c r="A178" s="994">
        <v>5</v>
      </c>
      <c r="B178" s="951" t="s">
        <v>847</v>
      </c>
      <c r="C178" s="952" t="s">
        <v>848</v>
      </c>
      <c r="D178" s="1002">
        <v>6</v>
      </c>
      <c r="E178" s="954">
        <v>3</v>
      </c>
      <c r="F178" s="955" t="s">
        <v>800</v>
      </c>
      <c r="G178" s="994">
        <v>2.97</v>
      </c>
      <c r="H178" s="957">
        <v>17697</v>
      </c>
      <c r="I178" s="955">
        <v>2</v>
      </c>
      <c r="J178" s="958"/>
      <c r="K178" s="958">
        <f t="shared" si="176"/>
        <v>315360.54000000004</v>
      </c>
      <c r="L178" s="958">
        <v>0</v>
      </c>
      <c r="M178" s="958"/>
      <c r="N178" s="958"/>
      <c r="O178" s="958">
        <f t="shared" si="182"/>
        <v>2567.1117128048782</v>
      </c>
      <c r="P178" s="958"/>
      <c r="Q178" s="958"/>
      <c r="R178" s="958"/>
      <c r="S178" s="958"/>
      <c r="T178" s="958">
        <v>30</v>
      </c>
      <c r="U178" s="958">
        <f t="shared" si="185"/>
        <v>15927.3</v>
      </c>
      <c r="V178" s="958"/>
      <c r="W178" s="958"/>
      <c r="X178" s="958"/>
      <c r="Y178" s="958">
        <v>40</v>
      </c>
      <c r="Z178" s="959">
        <f t="shared" si="183"/>
        <v>140</v>
      </c>
      <c r="AA178" s="959">
        <f t="shared" si="177"/>
        <v>441504.75600000005</v>
      </c>
      <c r="AB178" s="959"/>
      <c r="AC178" s="959"/>
      <c r="AD178" s="958">
        <f t="shared" si="178"/>
        <v>31536.054000000004</v>
      </c>
      <c r="AE178" s="958">
        <f t="shared" si="179"/>
        <v>806895.7617128049</v>
      </c>
      <c r="AF178" s="958">
        <f t="shared" si="180"/>
        <v>9682749.1405536588</v>
      </c>
      <c r="AG178" s="958">
        <f t="shared" si="184"/>
        <v>315360.54000000004</v>
      </c>
      <c r="AH178" s="958">
        <f t="shared" si="181"/>
        <v>9998109.6805536598</v>
      </c>
      <c r="AI178" s="1022"/>
      <c r="AJ178" s="1023"/>
      <c r="AK178" s="1021"/>
      <c r="AL178" s="1021"/>
      <c r="AM178" s="1013"/>
      <c r="AN178" s="1013"/>
      <c r="AO178" s="1013"/>
      <c r="AP178" s="1013"/>
      <c r="AQ178" s="1013"/>
      <c r="AR178" s="1013"/>
      <c r="AS178" s="1013"/>
      <c r="AT178" s="1013"/>
      <c r="AU178" s="1013"/>
      <c r="AV178" s="1013"/>
      <c r="AW178" s="1013"/>
      <c r="AX178" s="1013"/>
      <c r="AY178" s="1013"/>
      <c r="AZ178" s="1013"/>
      <c r="BA178" s="1013"/>
      <c r="BB178" s="1013"/>
      <c r="BC178" s="1013"/>
      <c r="BD178" s="1013"/>
      <c r="BE178" s="1013"/>
      <c r="BF178" s="1013"/>
      <c r="BG178" s="1013"/>
      <c r="BH178" s="1013"/>
      <c r="BI178" s="1013"/>
      <c r="BJ178" s="1013"/>
      <c r="BK178" s="1013"/>
      <c r="BL178" s="1013"/>
      <c r="BM178" s="1013"/>
      <c r="BN178" s="1013"/>
      <c r="BO178" s="1013"/>
      <c r="BP178" s="1013"/>
      <c r="BQ178" s="1013"/>
      <c r="BR178" s="1013"/>
      <c r="BS178" s="1013"/>
      <c r="BT178" s="1013"/>
      <c r="BU178" s="1013"/>
      <c r="BV178" s="1013"/>
      <c r="BW178" s="1013"/>
      <c r="BX178" s="1013"/>
      <c r="BY178" s="1013"/>
      <c r="BZ178" s="1013"/>
      <c r="CA178" s="1013"/>
      <c r="CB178" s="1013"/>
      <c r="CC178" s="1013"/>
      <c r="CD178" s="1013"/>
      <c r="CE178" s="1013"/>
      <c r="CF178" s="1013"/>
      <c r="CG178" s="1013"/>
      <c r="CH178" s="1013"/>
      <c r="CI178" s="1013"/>
      <c r="CJ178" s="1013"/>
      <c r="CK178" s="1013"/>
      <c r="CL178" s="1013"/>
      <c r="CM178" s="1013"/>
      <c r="CN178" s="1013"/>
      <c r="CO178" s="1013"/>
      <c r="CP178" s="1013"/>
      <c r="CQ178" s="1013"/>
      <c r="CR178" s="1013"/>
      <c r="CS178" s="1013"/>
      <c r="CT178" s="1013"/>
      <c r="CU178" s="1013"/>
      <c r="CV178" s="1013"/>
      <c r="CW178" s="1013"/>
      <c r="CX178" s="1013"/>
      <c r="CY178" s="1013"/>
      <c r="CZ178" s="1013"/>
      <c r="DA178" s="1013"/>
      <c r="DB178" s="1013"/>
      <c r="DC178" s="1013"/>
      <c r="DD178" s="1013"/>
      <c r="DE178" s="1013"/>
      <c r="DF178" s="1013"/>
      <c r="DG178" s="1013"/>
      <c r="DH178" s="1013"/>
      <c r="DI178" s="1013"/>
      <c r="DJ178" s="1013"/>
      <c r="DK178" s="1013"/>
      <c r="DL178" s="1013"/>
      <c r="DM178" s="1013"/>
      <c r="DN178" s="1013"/>
      <c r="DO178" s="1013"/>
      <c r="DP178" s="1013"/>
      <c r="DQ178" s="1013"/>
      <c r="DR178" s="1013"/>
      <c r="DS178" s="1013"/>
      <c r="DT178" s="1013"/>
      <c r="DU178" s="1013"/>
      <c r="DV178" s="1013"/>
      <c r="DW178" s="1013"/>
      <c r="DX178" s="1013"/>
      <c r="DY178" s="1013"/>
      <c r="DZ178" s="1013"/>
      <c r="EA178" s="1013"/>
      <c r="EB178" s="1013"/>
      <c r="EC178" s="1013"/>
      <c r="ED178" s="1013"/>
      <c r="EE178" s="1013"/>
      <c r="EF178" s="1013"/>
      <c r="EG178" s="1013"/>
      <c r="EH178" s="1013"/>
      <c r="EI178" s="1013"/>
      <c r="EJ178" s="1013"/>
      <c r="EK178" s="1013"/>
      <c r="EL178" s="1013"/>
      <c r="EM178" s="1013"/>
      <c r="EN178" s="1013"/>
      <c r="EO178" s="1013"/>
      <c r="EP178" s="1013"/>
      <c r="EQ178" s="1013"/>
      <c r="ER178" s="1013"/>
      <c r="ES178" s="1013"/>
      <c r="ET178" s="1013"/>
      <c r="EU178" s="1013"/>
      <c r="EV178" s="1013"/>
      <c r="EW178" s="1013"/>
      <c r="EX178" s="1013"/>
      <c r="EY178" s="1013"/>
      <c r="EZ178" s="1013"/>
      <c r="FA178" s="1013"/>
      <c r="FB178" s="1013"/>
      <c r="FC178" s="1013"/>
      <c r="FD178" s="1013"/>
      <c r="FE178" s="1013"/>
      <c r="FF178" s="1013"/>
      <c r="FG178" s="1013"/>
      <c r="FH178" s="1013"/>
      <c r="FI178" s="1013"/>
      <c r="FJ178" s="1013"/>
      <c r="FK178" s="1013"/>
      <c r="FL178" s="1013"/>
      <c r="FM178" s="1013"/>
      <c r="FN178" s="1013"/>
      <c r="FO178" s="1013"/>
      <c r="FP178" s="1013"/>
      <c r="FQ178" s="1013"/>
      <c r="FR178" s="1013"/>
      <c r="FS178" s="1013"/>
      <c r="FT178" s="1013"/>
      <c r="FU178" s="1013"/>
      <c r="FV178" s="1013"/>
      <c r="FW178" s="1013"/>
      <c r="FX178" s="1013"/>
      <c r="FY178" s="1013"/>
      <c r="FZ178" s="1013"/>
      <c r="GA178" s="1013"/>
      <c r="GB178" s="1013"/>
      <c r="GC178" s="1013"/>
      <c r="GD178" s="1013"/>
      <c r="GE178" s="1013"/>
      <c r="GF178" s="1013"/>
      <c r="GG178" s="1013"/>
      <c r="GH178" s="1013"/>
      <c r="GI178" s="1013"/>
      <c r="GJ178" s="1013"/>
      <c r="GK178" s="1013"/>
      <c r="GL178" s="1013"/>
      <c r="GM178" s="1013"/>
      <c r="GN178" s="1013"/>
      <c r="GO178" s="1013"/>
      <c r="GP178" s="1013"/>
      <c r="GQ178" s="1013"/>
      <c r="GR178" s="1013"/>
      <c r="GS178" s="1013"/>
      <c r="GT178" s="1013"/>
      <c r="GU178" s="1013"/>
      <c r="GV178" s="1013"/>
      <c r="GW178" s="1013"/>
      <c r="GX178" s="1013"/>
      <c r="GY178" s="1013"/>
      <c r="GZ178" s="1013"/>
      <c r="HA178" s="1013"/>
    </row>
    <row r="179" spans="1:209" s="1003" customFormat="1" ht="30.75" customHeight="1">
      <c r="A179" s="994">
        <v>6</v>
      </c>
      <c r="B179" s="951" t="s">
        <v>849</v>
      </c>
      <c r="C179" s="952" t="s">
        <v>714</v>
      </c>
      <c r="D179" s="1002">
        <v>6</v>
      </c>
      <c r="E179" s="954">
        <v>1</v>
      </c>
      <c r="F179" s="955" t="s">
        <v>800</v>
      </c>
      <c r="G179" s="994">
        <v>2.97</v>
      </c>
      <c r="H179" s="957">
        <v>17697</v>
      </c>
      <c r="I179" s="955">
        <v>2</v>
      </c>
      <c r="J179" s="958"/>
      <c r="K179" s="958">
        <f t="shared" si="176"/>
        <v>105120.18000000001</v>
      </c>
      <c r="L179" s="958">
        <v>0</v>
      </c>
      <c r="M179" s="958"/>
      <c r="N179" s="958"/>
      <c r="O179" s="958">
        <f t="shared" si="182"/>
        <v>855.70390426829272</v>
      </c>
      <c r="P179" s="958"/>
      <c r="Q179" s="958"/>
      <c r="R179" s="958"/>
      <c r="S179" s="958"/>
      <c r="T179" s="958">
        <v>30</v>
      </c>
      <c r="U179" s="958">
        <f t="shared" si="185"/>
        <v>5309.0999999999995</v>
      </c>
      <c r="V179" s="958"/>
      <c r="W179" s="958"/>
      <c r="X179" s="958"/>
      <c r="Y179" s="958">
        <v>40</v>
      </c>
      <c r="Z179" s="959">
        <f t="shared" si="183"/>
        <v>140</v>
      </c>
      <c r="AA179" s="959">
        <f t="shared" si="177"/>
        <v>147168.25200000001</v>
      </c>
      <c r="AB179" s="959"/>
      <c r="AC179" s="959"/>
      <c r="AD179" s="958">
        <f t="shared" si="178"/>
        <v>10512.018000000002</v>
      </c>
      <c r="AE179" s="958">
        <f t="shared" si="179"/>
        <v>268965.25390426832</v>
      </c>
      <c r="AF179" s="958">
        <f t="shared" si="180"/>
        <v>3227583.0468512196</v>
      </c>
      <c r="AG179" s="958">
        <f t="shared" si="184"/>
        <v>105120.18000000001</v>
      </c>
      <c r="AH179" s="958">
        <f t="shared" si="181"/>
        <v>3332703.2268512198</v>
      </c>
      <c r="AI179" s="1022"/>
      <c r="AJ179" s="1023"/>
      <c r="AK179" s="1021"/>
      <c r="AL179" s="1021"/>
      <c r="AM179" s="1013"/>
      <c r="AN179" s="1013"/>
      <c r="AO179" s="1013"/>
      <c r="AP179" s="1013"/>
      <c r="AQ179" s="1013"/>
      <c r="AR179" s="1013"/>
      <c r="AS179" s="1013"/>
      <c r="AT179" s="1013"/>
      <c r="AU179" s="1013"/>
      <c r="AV179" s="1013"/>
      <c r="AW179" s="1013"/>
      <c r="AX179" s="1013"/>
      <c r="AY179" s="1013"/>
      <c r="AZ179" s="1013"/>
      <c r="BA179" s="1013"/>
      <c r="BB179" s="1013"/>
      <c r="BC179" s="1013"/>
      <c r="BD179" s="1013"/>
      <c r="BE179" s="1013"/>
      <c r="BF179" s="1013"/>
      <c r="BG179" s="1013"/>
      <c r="BH179" s="1013"/>
      <c r="BI179" s="1013"/>
      <c r="BJ179" s="1013"/>
      <c r="BK179" s="1013"/>
      <c r="BL179" s="1013"/>
      <c r="BM179" s="1013"/>
      <c r="BN179" s="1013"/>
      <c r="BO179" s="1013"/>
      <c r="BP179" s="1013"/>
      <c r="BQ179" s="1013"/>
      <c r="BR179" s="1013"/>
      <c r="BS179" s="1013"/>
      <c r="BT179" s="1013"/>
      <c r="BU179" s="1013"/>
      <c r="BV179" s="1013"/>
      <c r="BW179" s="1013"/>
      <c r="BX179" s="1013"/>
      <c r="BY179" s="1013"/>
      <c r="BZ179" s="1013"/>
      <c r="CA179" s="1013"/>
      <c r="CB179" s="1013"/>
      <c r="CC179" s="1013"/>
      <c r="CD179" s="1013"/>
      <c r="CE179" s="1013"/>
      <c r="CF179" s="1013"/>
      <c r="CG179" s="1013"/>
      <c r="CH179" s="1013"/>
      <c r="CI179" s="1013"/>
      <c r="CJ179" s="1013"/>
      <c r="CK179" s="1013"/>
      <c r="CL179" s="1013"/>
      <c r="CM179" s="1013"/>
      <c r="CN179" s="1013"/>
      <c r="CO179" s="1013"/>
      <c r="CP179" s="1013"/>
      <c r="CQ179" s="1013"/>
      <c r="CR179" s="1013"/>
      <c r="CS179" s="1013"/>
      <c r="CT179" s="1013"/>
      <c r="CU179" s="1013"/>
      <c r="CV179" s="1013"/>
      <c r="CW179" s="1013"/>
      <c r="CX179" s="1013"/>
      <c r="CY179" s="1013"/>
      <c r="CZ179" s="1013"/>
      <c r="DA179" s="1013"/>
      <c r="DB179" s="1013"/>
      <c r="DC179" s="1013"/>
      <c r="DD179" s="1013"/>
      <c r="DE179" s="1013"/>
      <c r="DF179" s="1013"/>
      <c r="DG179" s="1013"/>
      <c r="DH179" s="1013"/>
      <c r="DI179" s="1013"/>
      <c r="DJ179" s="1013"/>
      <c r="DK179" s="1013"/>
      <c r="DL179" s="1013"/>
      <c r="DM179" s="1013"/>
      <c r="DN179" s="1013"/>
      <c r="DO179" s="1013"/>
      <c r="DP179" s="1013"/>
      <c r="DQ179" s="1013"/>
      <c r="DR179" s="1013"/>
      <c r="DS179" s="1013"/>
      <c r="DT179" s="1013"/>
      <c r="DU179" s="1013"/>
      <c r="DV179" s="1013"/>
      <c r="DW179" s="1013"/>
      <c r="DX179" s="1013"/>
      <c r="DY179" s="1013"/>
      <c r="DZ179" s="1013"/>
      <c r="EA179" s="1013"/>
      <c r="EB179" s="1013"/>
      <c r="EC179" s="1013"/>
      <c r="ED179" s="1013"/>
      <c r="EE179" s="1013"/>
      <c r="EF179" s="1013"/>
      <c r="EG179" s="1013"/>
      <c r="EH179" s="1013"/>
      <c r="EI179" s="1013"/>
      <c r="EJ179" s="1013"/>
      <c r="EK179" s="1013"/>
      <c r="EL179" s="1013"/>
      <c r="EM179" s="1013"/>
      <c r="EN179" s="1013"/>
      <c r="EO179" s="1013"/>
      <c r="EP179" s="1013"/>
      <c r="EQ179" s="1013"/>
      <c r="ER179" s="1013"/>
      <c r="ES179" s="1013"/>
      <c r="ET179" s="1013"/>
      <c r="EU179" s="1013"/>
      <c r="EV179" s="1013"/>
      <c r="EW179" s="1013"/>
      <c r="EX179" s="1013"/>
      <c r="EY179" s="1013"/>
      <c r="EZ179" s="1013"/>
      <c r="FA179" s="1013"/>
      <c r="FB179" s="1013"/>
      <c r="FC179" s="1013"/>
      <c r="FD179" s="1013"/>
      <c r="FE179" s="1013"/>
      <c r="FF179" s="1013"/>
      <c r="FG179" s="1013"/>
      <c r="FH179" s="1013"/>
      <c r="FI179" s="1013"/>
      <c r="FJ179" s="1013"/>
      <c r="FK179" s="1013"/>
      <c r="FL179" s="1013"/>
      <c r="FM179" s="1013"/>
      <c r="FN179" s="1013"/>
      <c r="FO179" s="1013"/>
      <c r="FP179" s="1013"/>
      <c r="FQ179" s="1013"/>
      <c r="FR179" s="1013"/>
      <c r="FS179" s="1013"/>
      <c r="FT179" s="1013"/>
      <c r="FU179" s="1013"/>
      <c r="FV179" s="1013"/>
      <c r="FW179" s="1013"/>
      <c r="FX179" s="1013"/>
      <c r="FY179" s="1013"/>
      <c r="FZ179" s="1013"/>
      <c r="GA179" s="1013"/>
      <c r="GB179" s="1013"/>
      <c r="GC179" s="1013"/>
      <c r="GD179" s="1013"/>
      <c r="GE179" s="1013"/>
      <c r="GF179" s="1013"/>
      <c r="GG179" s="1013"/>
      <c r="GH179" s="1013"/>
      <c r="GI179" s="1013"/>
      <c r="GJ179" s="1013"/>
      <c r="GK179" s="1013"/>
      <c r="GL179" s="1013"/>
      <c r="GM179" s="1013"/>
      <c r="GN179" s="1013"/>
      <c r="GO179" s="1013"/>
      <c r="GP179" s="1013"/>
      <c r="GQ179" s="1013"/>
      <c r="GR179" s="1013"/>
      <c r="GS179" s="1013"/>
      <c r="GT179" s="1013"/>
      <c r="GU179" s="1013"/>
      <c r="GV179" s="1013"/>
      <c r="GW179" s="1013"/>
      <c r="GX179" s="1013"/>
      <c r="GY179" s="1013"/>
      <c r="GZ179" s="1013"/>
      <c r="HA179" s="1013"/>
    </row>
    <row r="180" spans="1:209" s="1003" customFormat="1" ht="30.75" customHeight="1">
      <c r="A180" s="994">
        <v>7</v>
      </c>
      <c r="B180" s="951" t="s">
        <v>850</v>
      </c>
      <c r="C180" s="1006" t="s">
        <v>851</v>
      </c>
      <c r="D180" s="1002">
        <v>4</v>
      </c>
      <c r="E180" s="954">
        <v>5</v>
      </c>
      <c r="F180" s="955" t="s">
        <v>777</v>
      </c>
      <c r="G180" s="953">
        <v>2.9</v>
      </c>
      <c r="H180" s="957">
        <v>17697</v>
      </c>
      <c r="I180" s="955">
        <v>2</v>
      </c>
      <c r="J180" s="958"/>
      <c r="K180" s="958">
        <f t="shared" si="176"/>
        <v>513212.99999999994</v>
      </c>
      <c r="L180" s="958">
        <v>0</v>
      </c>
      <c r="M180" s="958"/>
      <c r="N180" s="958"/>
      <c r="O180" s="958">
        <f t="shared" si="182"/>
        <v>4177.6789939024384</v>
      </c>
      <c r="P180" s="958"/>
      <c r="Q180" s="958"/>
      <c r="R180" s="958"/>
      <c r="S180" s="958"/>
      <c r="T180" s="958"/>
      <c r="U180" s="958"/>
      <c r="V180" s="958"/>
      <c r="W180" s="958"/>
      <c r="X180" s="958"/>
      <c r="Y180" s="958">
        <v>40</v>
      </c>
      <c r="Z180" s="959">
        <f t="shared" si="183"/>
        <v>140</v>
      </c>
      <c r="AA180" s="959">
        <f t="shared" si="177"/>
        <v>718498.19999999984</v>
      </c>
      <c r="AB180" s="959"/>
      <c r="AC180" s="959"/>
      <c r="AD180" s="958">
        <f t="shared" si="178"/>
        <v>51321.299999999996</v>
      </c>
      <c r="AE180" s="958">
        <f t="shared" si="179"/>
        <v>1287210.1789939024</v>
      </c>
      <c r="AF180" s="958">
        <f t="shared" si="180"/>
        <v>15446522.14792683</v>
      </c>
      <c r="AG180" s="958">
        <f t="shared" si="184"/>
        <v>513212.99999999994</v>
      </c>
      <c r="AH180" s="958">
        <f t="shared" si="181"/>
        <v>15959735.14792683</v>
      </c>
      <c r="AI180" s="1022"/>
      <c r="AJ180" s="1023"/>
      <c r="AK180" s="1021"/>
      <c r="AL180" s="1021"/>
      <c r="AM180" s="1013"/>
      <c r="AN180" s="1013"/>
      <c r="AO180" s="1013"/>
      <c r="AP180" s="1013"/>
      <c r="AQ180" s="1013"/>
      <c r="AR180" s="1013"/>
      <c r="AS180" s="1013"/>
      <c r="AT180" s="1013"/>
      <c r="AU180" s="1013"/>
      <c r="AV180" s="1013"/>
      <c r="AW180" s="1013"/>
      <c r="AX180" s="1013"/>
      <c r="AY180" s="1013"/>
      <c r="AZ180" s="1013"/>
      <c r="BA180" s="1013"/>
      <c r="BB180" s="1013"/>
      <c r="BC180" s="1013"/>
      <c r="BD180" s="1013"/>
      <c r="BE180" s="1013"/>
      <c r="BF180" s="1013"/>
      <c r="BG180" s="1013"/>
      <c r="BH180" s="1013"/>
      <c r="BI180" s="1013"/>
      <c r="BJ180" s="1013"/>
      <c r="BK180" s="1013"/>
      <c r="BL180" s="1013"/>
      <c r="BM180" s="1013"/>
      <c r="BN180" s="1013"/>
      <c r="BO180" s="1013"/>
      <c r="BP180" s="1013"/>
      <c r="BQ180" s="1013"/>
      <c r="BR180" s="1013"/>
      <c r="BS180" s="1013"/>
      <c r="BT180" s="1013"/>
      <c r="BU180" s="1013"/>
      <c r="BV180" s="1013"/>
      <c r="BW180" s="1013"/>
      <c r="BX180" s="1013"/>
      <c r="BY180" s="1013"/>
      <c r="BZ180" s="1013"/>
      <c r="CA180" s="1013"/>
      <c r="CB180" s="1013"/>
      <c r="CC180" s="1013"/>
      <c r="CD180" s="1013"/>
      <c r="CE180" s="1013"/>
      <c r="CF180" s="1013"/>
      <c r="CG180" s="1013"/>
      <c r="CH180" s="1013"/>
      <c r="CI180" s="1013"/>
      <c r="CJ180" s="1013"/>
      <c r="CK180" s="1013"/>
      <c r="CL180" s="1013"/>
      <c r="CM180" s="1013"/>
      <c r="CN180" s="1013"/>
      <c r="CO180" s="1013"/>
      <c r="CP180" s="1013"/>
      <c r="CQ180" s="1013"/>
      <c r="CR180" s="1013"/>
      <c r="CS180" s="1013"/>
      <c r="CT180" s="1013"/>
      <c r="CU180" s="1013"/>
      <c r="CV180" s="1013"/>
      <c r="CW180" s="1013"/>
      <c r="CX180" s="1013"/>
      <c r="CY180" s="1013"/>
      <c r="CZ180" s="1013"/>
      <c r="DA180" s="1013"/>
      <c r="DB180" s="1013"/>
      <c r="DC180" s="1013"/>
      <c r="DD180" s="1013"/>
      <c r="DE180" s="1013"/>
      <c r="DF180" s="1013"/>
      <c r="DG180" s="1013"/>
      <c r="DH180" s="1013"/>
      <c r="DI180" s="1013"/>
      <c r="DJ180" s="1013"/>
      <c r="DK180" s="1013"/>
      <c r="DL180" s="1013"/>
      <c r="DM180" s="1013"/>
      <c r="DN180" s="1013"/>
      <c r="DO180" s="1013"/>
      <c r="DP180" s="1013"/>
      <c r="DQ180" s="1013"/>
      <c r="DR180" s="1013"/>
      <c r="DS180" s="1013"/>
      <c r="DT180" s="1013"/>
      <c r="DU180" s="1013"/>
      <c r="DV180" s="1013"/>
      <c r="DW180" s="1013"/>
      <c r="DX180" s="1013"/>
      <c r="DY180" s="1013"/>
      <c r="DZ180" s="1013"/>
      <c r="EA180" s="1013"/>
      <c r="EB180" s="1013"/>
      <c r="EC180" s="1013"/>
      <c r="ED180" s="1013"/>
      <c r="EE180" s="1013"/>
      <c r="EF180" s="1013"/>
      <c r="EG180" s="1013"/>
      <c r="EH180" s="1013"/>
      <c r="EI180" s="1013"/>
      <c r="EJ180" s="1013"/>
      <c r="EK180" s="1013"/>
      <c r="EL180" s="1013"/>
      <c r="EM180" s="1013"/>
      <c r="EN180" s="1013"/>
      <c r="EO180" s="1013"/>
      <c r="EP180" s="1013"/>
      <c r="EQ180" s="1013"/>
      <c r="ER180" s="1013"/>
      <c r="ES180" s="1013"/>
      <c r="ET180" s="1013"/>
      <c r="EU180" s="1013"/>
      <c r="EV180" s="1013"/>
      <c r="EW180" s="1013"/>
      <c r="EX180" s="1013"/>
      <c r="EY180" s="1013"/>
      <c r="EZ180" s="1013"/>
      <c r="FA180" s="1013"/>
      <c r="FB180" s="1013"/>
      <c r="FC180" s="1013"/>
      <c r="FD180" s="1013"/>
      <c r="FE180" s="1013"/>
      <c r="FF180" s="1013"/>
      <c r="FG180" s="1013"/>
      <c r="FH180" s="1013"/>
      <c r="FI180" s="1013"/>
      <c r="FJ180" s="1013"/>
      <c r="FK180" s="1013"/>
      <c r="FL180" s="1013"/>
      <c r="FM180" s="1013"/>
      <c r="FN180" s="1013"/>
      <c r="FO180" s="1013"/>
      <c r="FP180" s="1013"/>
      <c r="FQ180" s="1013"/>
      <c r="FR180" s="1013"/>
      <c r="FS180" s="1013"/>
      <c r="FT180" s="1013"/>
      <c r="FU180" s="1013"/>
      <c r="FV180" s="1013"/>
      <c r="FW180" s="1013"/>
      <c r="FX180" s="1013"/>
      <c r="FY180" s="1013"/>
      <c r="FZ180" s="1013"/>
      <c r="GA180" s="1013"/>
      <c r="GB180" s="1013"/>
      <c r="GC180" s="1013"/>
      <c r="GD180" s="1013"/>
      <c r="GE180" s="1013"/>
      <c r="GF180" s="1013"/>
      <c r="GG180" s="1013"/>
      <c r="GH180" s="1013"/>
      <c r="GI180" s="1013"/>
      <c r="GJ180" s="1013"/>
      <c r="GK180" s="1013"/>
      <c r="GL180" s="1013"/>
      <c r="GM180" s="1013"/>
      <c r="GN180" s="1013"/>
      <c r="GO180" s="1013"/>
      <c r="GP180" s="1013"/>
      <c r="GQ180" s="1013"/>
      <c r="GR180" s="1013"/>
      <c r="GS180" s="1013"/>
      <c r="GT180" s="1013"/>
      <c r="GU180" s="1013"/>
      <c r="GV180" s="1013"/>
      <c r="GW180" s="1013"/>
      <c r="GX180" s="1013"/>
      <c r="GY180" s="1013"/>
      <c r="GZ180" s="1013"/>
      <c r="HA180" s="1013"/>
    </row>
    <row r="181" spans="1:209" s="1003" customFormat="1" ht="30.75" customHeight="1">
      <c r="A181" s="994">
        <v>8</v>
      </c>
      <c r="B181" s="951" t="s">
        <v>852</v>
      </c>
      <c r="C181" s="952" t="s">
        <v>853</v>
      </c>
      <c r="D181" s="1002">
        <v>2</v>
      </c>
      <c r="E181" s="954">
        <v>4</v>
      </c>
      <c r="F181" s="955" t="s">
        <v>827</v>
      </c>
      <c r="G181" s="953">
        <v>2.84</v>
      </c>
      <c r="H181" s="957">
        <v>17697</v>
      </c>
      <c r="I181" s="955">
        <v>2</v>
      </c>
      <c r="J181" s="958"/>
      <c r="K181" s="958">
        <f t="shared" si="176"/>
        <v>402075.83999999997</v>
      </c>
      <c r="L181" s="958">
        <v>0</v>
      </c>
      <c r="M181" s="958"/>
      <c r="N181" s="958"/>
      <c r="O181" s="958">
        <f t="shared" si="182"/>
        <v>3272.9954048780482</v>
      </c>
      <c r="P181" s="958"/>
      <c r="Q181" s="958"/>
      <c r="R181" s="958"/>
      <c r="S181" s="958"/>
      <c r="T181" s="958"/>
      <c r="U181" s="958"/>
      <c r="V181" s="958"/>
      <c r="W181" s="958"/>
      <c r="X181" s="958"/>
      <c r="Y181" s="958">
        <v>40</v>
      </c>
      <c r="Z181" s="959">
        <f t="shared" si="183"/>
        <v>140</v>
      </c>
      <c r="AA181" s="959">
        <f t="shared" si="177"/>
        <v>562906.17599999986</v>
      </c>
      <c r="AB181" s="959"/>
      <c r="AC181" s="959"/>
      <c r="AD181" s="958">
        <f t="shared" si="178"/>
        <v>40207.584000000003</v>
      </c>
      <c r="AE181" s="958">
        <f t="shared" si="179"/>
        <v>1008462.5954048779</v>
      </c>
      <c r="AF181" s="958">
        <f t="shared" si="180"/>
        <v>12101551.144858535</v>
      </c>
      <c r="AG181" s="958">
        <f t="shared" si="184"/>
        <v>402075.83999999997</v>
      </c>
      <c r="AH181" s="958">
        <f t="shared" si="181"/>
        <v>12503626.984858535</v>
      </c>
      <c r="AI181" s="1022"/>
      <c r="AJ181" s="1023"/>
      <c r="AK181" s="1021"/>
      <c r="AL181" s="1021"/>
      <c r="AM181" s="1013"/>
      <c r="AN181" s="1013"/>
      <c r="AO181" s="1013"/>
      <c r="AP181" s="1013"/>
      <c r="AQ181" s="1013"/>
      <c r="AR181" s="1013"/>
      <c r="AS181" s="1013"/>
      <c r="AT181" s="1013"/>
      <c r="AU181" s="1013"/>
      <c r="AV181" s="1013"/>
      <c r="AW181" s="1013"/>
      <c r="AX181" s="1013"/>
      <c r="AY181" s="1013"/>
      <c r="AZ181" s="1013"/>
      <c r="BA181" s="1013"/>
      <c r="BB181" s="1013"/>
      <c r="BC181" s="1013"/>
      <c r="BD181" s="1013"/>
      <c r="BE181" s="1013"/>
      <c r="BF181" s="1013"/>
      <c r="BG181" s="1013"/>
      <c r="BH181" s="1013"/>
      <c r="BI181" s="1013"/>
      <c r="BJ181" s="1013"/>
      <c r="BK181" s="1013"/>
      <c r="BL181" s="1013"/>
      <c r="BM181" s="1013"/>
      <c r="BN181" s="1013"/>
      <c r="BO181" s="1013"/>
      <c r="BP181" s="1013"/>
      <c r="BQ181" s="1013"/>
      <c r="BR181" s="1013"/>
      <c r="BS181" s="1013"/>
      <c r="BT181" s="1013"/>
      <c r="BU181" s="1013"/>
      <c r="BV181" s="1013"/>
      <c r="BW181" s="1013"/>
      <c r="BX181" s="1013"/>
      <c r="BY181" s="1013"/>
      <c r="BZ181" s="1013"/>
      <c r="CA181" s="1013"/>
      <c r="CB181" s="1013"/>
      <c r="CC181" s="1013"/>
      <c r="CD181" s="1013"/>
      <c r="CE181" s="1013"/>
      <c r="CF181" s="1013"/>
      <c r="CG181" s="1013"/>
      <c r="CH181" s="1013"/>
      <c r="CI181" s="1013"/>
      <c r="CJ181" s="1013"/>
      <c r="CK181" s="1013"/>
      <c r="CL181" s="1013"/>
      <c r="CM181" s="1013"/>
      <c r="CN181" s="1013"/>
      <c r="CO181" s="1013"/>
      <c r="CP181" s="1013"/>
      <c r="CQ181" s="1013"/>
      <c r="CR181" s="1013"/>
      <c r="CS181" s="1013"/>
      <c r="CT181" s="1013"/>
      <c r="CU181" s="1013"/>
      <c r="CV181" s="1013"/>
      <c r="CW181" s="1013"/>
      <c r="CX181" s="1013"/>
      <c r="CY181" s="1013"/>
      <c r="CZ181" s="1013"/>
      <c r="DA181" s="1013"/>
      <c r="DB181" s="1013"/>
      <c r="DC181" s="1013"/>
      <c r="DD181" s="1013"/>
      <c r="DE181" s="1013"/>
      <c r="DF181" s="1013"/>
      <c r="DG181" s="1013"/>
      <c r="DH181" s="1013"/>
      <c r="DI181" s="1013"/>
      <c r="DJ181" s="1013"/>
      <c r="DK181" s="1013"/>
      <c r="DL181" s="1013"/>
      <c r="DM181" s="1013"/>
      <c r="DN181" s="1013"/>
      <c r="DO181" s="1013"/>
      <c r="DP181" s="1013"/>
      <c r="DQ181" s="1013"/>
      <c r="DR181" s="1013"/>
      <c r="DS181" s="1013"/>
      <c r="DT181" s="1013"/>
      <c r="DU181" s="1013"/>
      <c r="DV181" s="1013"/>
      <c r="DW181" s="1013"/>
      <c r="DX181" s="1013"/>
      <c r="DY181" s="1013"/>
      <c r="DZ181" s="1013"/>
      <c r="EA181" s="1013"/>
      <c r="EB181" s="1013"/>
      <c r="EC181" s="1013"/>
      <c r="ED181" s="1013"/>
      <c r="EE181" s="1013"/>
      <c r="EF181" s="1013"/>
      <c r="EG181" s="1013"/>
      <c r="EH181" s="1013"/>
      <c r="EI181" s="1013"/>
      <c r="EJ181" s="1013"/>
      <c r="EK181" s="1013"/>
      <c r="EL181" s="1013"/>
      <c r="EM181" s="1013"/>
      <c r="EN181" s="1013"/>
      <c r="EO181" s="1013"/>
      <c r="EP181" s="1013"/>
      <c r="EQ181" s="1013"/>
      <c r="ER181" s="1013"/>
      <c r="ES181" s="1013"/>
      <c r="ET181" s="1013"/>
      <c r="EU181" s="1013"/>
      <c r="EV181" s="1013"/>
      <c r="EW181" s="1013"/>
      <c r="EX181" s="1013"/>
      <c r="EY181" s="1013"/>
      <c r="EZ181" s="1013"/>
      <c r="FA181" s="1013"/>
      <c r="FB181" s="1013"/>
      <c r="FC181" s="1013"/>
      <c r="FD181" s="1013"/>
      <c r="FE181" s="1013"/>
      <c r="FF181" s="1013"/>
      <c r="FG181" s="1013"/>
      <c r="FH181" s="1013"/>
      <c r="FI181" s="1013"/>
      <c r="FJ181" s="1013"/>
      <c r="FK181" s="1013"/>
      <c r="FL181" s="1013"/>
      <c r="FM181" s="1013"/>
      <c r="FN181" s="1013"/>
      <c r="FO181" s="1013"/>
      <c r="FP181" s="1013"/>
      <c r="FQ181" s="1013"/>
      <c r="FR181" s="1013"/>
      <c r="FS181" s="1013"/>
      <c r="FT181" s="1013"/>
      <c r="FU181" s="1013"/>
      <c r="FV181" s="1013"/>
      <c r="FW181" s="1013"/>
      <c r="FX181" s="1013"/>
      <c r="FY181" s="1013"/>
      <c r="FZ181" s="1013"/>
      <c r="GA181" s="1013"/>
      <c r="GB181" s="1013"/>
      <c r="GC181" s="1013"/>
      <c r="GD181" s="1013"/>
      <c r="GE181" s="1013"/>
      <c r="GF181" s="1013"/>
      <c r="GG181" s="1013"/>
      <c r="GH181" s="1013"/>
      <c r="GI181" s="1013"/>
      <c r="GJ181" s="1013"/>
      <c r="GK181" s="1013"/>
      <c r="GL181" s="1013"/>
      <c r="GM181" s="1013"/>
      <c r="GN181" s="1013"/>
      <c r="GO181" s="1013"/>
      <c r="GP181" s="1013"/>
      <c r="GQ181" s="1013"/>
      <c r="GR181" s="1013"/>
      <c r="GS181" s="1013"/>
      <c r="GT181" s="1013"/>
      <c r="GU181" s="1013"/>
      <c r="GV181" s="1013"/>
      <c r="GW181" s="1013"/>
      <c r="GX181" s="1013"/>
      <c r="GY181" s="1013"/>
      <c r="GZ181" s="1013"/>
      <c r="HA181" s="1013"/>
    </row>
    <row r="182" spans="1:209" s="1003" customFormat="1" ht="30.75" customHeight="1">
      <c r="A182" s="950"/>
      <c r="B182" s="1001" t="s">
        <v>627</v>
      </c>
      <c r="C182" s="964"/>
      <c r="D182" s="998"/>
      <c r="E182" s="999">
        <f>SUM(E174:E181)</f>
        <v>23</v>
      </c>
      <c r="F182" s="998"/>
      <c r="G182" s="998"/>
      <c r="H182" s="994"/>
      <c r="I182" s="994"/>
      <c r="J182" s="994"/>
      <c r="K182" s="999">
        <f>SUM(K174:K181)</f>
        <v>2510142.4799999995</v>
      </c>
      <c r="L182" s="965">
        <f>SUM(L174:L181)</f>
        <v>0</v>
      </c>
      <c r="M182" s="965"/>
      <c r="N182" s="965"/>
      <c r="O182" s="999">
        <f>SUM(O174:O181)</f>
        <v>19064.622001829266</v>
      </c>
      <c r="P182" s="965"/>
      <c r="Q182" s="965"/>
      <c r="R182" s="965"/>
      <c r="S182" s="965"/>
      <c r="T182" s="965"/>
      <c r="U182" s="999">
        <f>SUM(U174:U181)</f>
        <v>42472.799999999996</v>
      </c>
      <c r="V182" s="965"/>
      <c r="W182" s="965"/>
      <c r="X182" s="965"/>
      <c r="Y182" s="965"/>
      <c r="Z182" s="965"/>
      <c r="AA182" s="999">
        <f>SUM(AA174:AA181)</f>
        <v>3667561.6739999996</v>
      </c>
      <c r="AB182" s="961"/>
      <c r="AC182" s="961"/>
      <c r="AD182" s="999">
        <f>SUM(AD174:AD181)</f>
        <v>251014.24800000002</v>
      </c>
      <c r="AE182" s="999">
        <f>SUM(AE174:AE181)</f>
        <v>6490255.8240018301</v>
      </c>
      <c r="AF182" s="999">
        <f>SUM(AF174:AF181)</f>
        <v>77883069.888021961</v>
      </c>
      <c r="AG182" s="999">
        <f>SUM(AG174:AG181)</f>
        <v>2510142.4799999995</v>
      </c>
      <c r="AH182" s="999">
        <f>SUM(AH174:AH181)</f>
        <v>80393212.368021965</v>
      </c>
      <c r="AI182" s="1022"/>
      <c r="AJ182" s="1023"/>
      <c r="AK182" s="1021"/>
      <c r="AL182" s="1021"/>
      <c r="AM182" s="1013"/>
      <c r="AN182" s="1013"/>
      <c r="AO182" s="1013"/>
      <c r="AP182" s="1013"/>
      <c r="AQ182" s="1013"/>
      <c r="AR182" s="1013"/>
      <c r="AS182" s="1013"/>
      <c r="AT182" s="1013"/>
      <c r="AU182" s="1013"/>
      <c r="AV182" s="1013"/>
      <c r="AW182" s="1013"/>
      <c r="AX182" s="1013"/>
      <c r="AY182" s="1013"/>
      <c r="AZ182" s="1013"/>
      <c r="BA182" s="1013"/>
      <c r="BB182" s="1013"/>
      <c r="BC182" s="1013"/>
      <c r="BD182" s="1013"/>
      <c r="BE182" s="1013"/>
      <c r="BF182" s="1013"/>
      <c r="BG182" s="1013"/>
      <c r="BH182" s="1013"/>
      <c r="BI182" s="1013"/>
      <c r="BJ182" s="1013"/>
      <c r="BK182" s="1013"/>
      <c r="BL182" s="1013"/>
      <c r="BM182" s="1013"/>
      <c r="BN182" s="1013"/>
      <c r="BO182" s="1013"/>
      <c r="BP182" s="1013"/>
      <c r="BQ182" s="1013"/>
      <c r="BR182" s="1013"/>
      <c r="BS182" s="1013"/>
      <c r="BT182" s="1013"/>
      <c r="BU182" s="1013"/>
      <c r="BV182" s="1013"/>
      <c r="BW182" s="1013"/>
      <c r="BX182" s="1013"/>
      <c r="BY182" s="1013"/>
      <c r="BZ182" s="1013"/>
      <c r="CA182" s="1013"/>
      <c r="CB182" s="1013"/>
      <c r="CC182" s="1013"/>
      <c r="CD182" s="1013"/>
      <c r="CE182" s="1013"/>
      <c r="CF182" s="1013"/>
      <c r="CG182" s="1013"/>
      <c r="CH182" s="1013"/>
      <c r="CI182" s="1013"/>
      <c r="CJ182" s="1013"/>
      <c r="CK182" s="1013"/>
      <c r="CL182" s="1013"/>
      <c r="CM182" s="1013"/>
      <c r="CN182" s="1013"/>
      <c r="CO182" s="1013"/>
      <c r="CP182" s="1013"/>
      <c r="CQ182" s="1013"/>
      <c r="CR182" s="1013"/>
      <c r="CS182" s="1013"/>
      <c r="CT182" s="1013"/>
      <c r="CU182" s="1013"/>
      <c r="CV182" s="1013"/>
      <c r="CW182" s="1013"/>
      <c r="CX182" s="1013"/>
      <c r="CY182" s="1013"/>
      <c r="CZ182" s="1013"/>
      <c r="DA182" s="1013"/>
      <c r="DB182" s="1013"/>
      <c r="DC182" s="1013"/>
      <c r="DD182" s="1013"/>
      <c r="DE182" s="1013"/>
      <c r="DF182" s="1013"/>
      <c r="DG182" s="1013"/>
      <c r="DH182" s="1013"/>
      <c r="DI182" s="1013"/>
      <c r="DJ182" s="1013"/>
      <c r="DK182" s="1013"/>
      <c r="DL182" s="1013"/>
      <c r="DM182" s="1013"/>
      <c r="DN182" s="1013"/>
      <c r="DO182" s="1013"/>
      <c r="DP182" s="1013"/>
      <c r="DQ182" s="1013"/>
      <c r="DR182" s="1013"/>
      <c r="DS182" s="1013"/>
      <c r="DT182" s="1013"/>
      <c r="DU182" s="1013"/>
      <c r="DV182" s="1013"/>
      <c r="DW182" s="1013"/>
      <c r="DX182" s="1013"/>
      <c r="DY182" s="1013"/>
      <c r="DZ182" s="1013"/>
      <c r="EA182" s="1013"/>
      <c r="EB182" s="1013"/>
      <c r="EC182" s="1013"/>
      <c r="ED182" s="1013"/>
      <c r="EE182" s="1013"/>
      <c r="EF182" s="1013"/>
      <c r="EG182" s="1013"/>
      <c r="EH182" s="1013"/>
      <c r="EI182" s="1013"/>
      <c r="EJ182" s="1013"/>
      <c r="EK182" s="1013"/>
      <c r="EL182" s="1013"/>
      <c r="EM182" s="1013"/>
      <c r="EN182" s="1013"/>
      <c r="EO182" s="1013"/>
      <c r="EP182" s="1013"/>
      <c r="EQ182" s="1013"/>
      <c r="ER182" s="1013"/>
      <c r="ES182" s="1013"/>
      <c r="ET182" s="1013"/>
      <c r="EU182" s="1013"/>
      <c r="EV182" s="1013"/>
      <c r="EW182" s="1013"/>
      <c r="EX182" s="1013"/>
      <c r="EY182" s="1013"/>
      <c r="EZ182" s="1013"/>
      <c r="FA182" s="1013"/>
      <c r="FB182" s="1013"/>
      <c r="FC182" s="1013"/>
      <c r="FD182" s="1013"/>
      <c r="FE182" s="1013"/>
      <c r="FF182" s="1013"/>
      <c r="FG182" s="1013"/>
      <c r="FH182" s="1013"/>
      <c r="FI182" s="1013"/>
      <c r="FJ182" s="1013"/>
      <c r="FK182" s="1013"/>
      <c r="FL182" s="1013"/>
      <c r="FM182" s="1013"/>
      <c r="FN182" s="1013"/>
      <c r="FO182" s="1013"/>
      <c r="FP182" s="1013"/>
      <c r="FQ182" s="1013"/>
      <c r="FR182" s="1013"/>
      <c r="FS182" s="1013"/>
      <c r="FT182" s="1013"/>
      <c r="FU182" s="1013"/>
      <c r="FV182" s="1013"/>
      <c r="FW182" s="1013"/>
      <c r="FX182" s="1013"/>
      <c r="FY182" s="1013"/>
      <c r="FZ182" s="1013"/>
      <c r="GA182" s="1013"/>
      <c r="GB182" s="1013"/>
      <c r="GC182" s="1013"/>
      <c r="GD182" s="1013"/>
      <c r="GE182" s="1013"/>
      <c r="GF182" s="1013"/>
      <c r="GG182" s="1013"/>
      <c r="GH182" s="1013"/>
      <c r="GI182" s="1013"/>
      <c r="GJ182" s="1013"/>
      <c r="GK182" s="1013"/>
      <c r="GL182" s="1013"/>
      <c r="GM182" s="1013"/>
      <c r="GN182" s="1013"/>
      <c r="GO182" s="1013"/>
      <c r="GP182" s="1013"/>
      <c r="GQ182" s="1013"/>
      <c r="GR182" s="1013"/>
      <c r="GS182" s="1013"/>
      <c r="GT182" s="1013"/>
      <c r="GU182" s="1013"/>
      <c r="GV182" s="1013"/>
      <c r="GW182" s="1013"/>
      <c r="GX182" s="1013"/>
      <c r="GY182" s="1013"/>
      <c r="GZ182" s="1013"/>
      <c r="HA182" s="1013"/>
    </row>
    <row r="183" spans="1:209" s="1013" customFormat="1" ht="30.75" customHeight="1">
      <c r="A183" s="963"/>
      <c r="B183" s="964"/>
      <c r="C183" s="1001"/>
      <c r="D183" s="998"/>
      <c r="E183" s="998"/>
      <c r="F183" s="998"/>
      <c r="G183" s="998"/>
      <c r="H183" s="998"/>
      <c r="I183" s="998"/>
      <c r="J183" s="998"/>
      <c r="K183" s="998"/>
      <c r="L183" s="998"/>
      <c r="M183" s="998"/>
      <c r="N183" s="998"/>
      <c r="O183" s="998"/>
      <c r="P183" s="998"/>
      <c r="Q183" s="1007" t="s">
        <v>1224</v>
      </c>
      <c r="R183" s="998"/>
      <c r="S183" s="998"/>
      <c r="T183" s="998"/>
      <c r="U183" s="998"/>
      <c r="V183" s="998"/>
      <c r="W183" s="998"/>
      <c r="X183" s="998"/>
      <c r="Y183" s="998"/>
      <c r="Z183" s="998"/>
      <c r="AA183" s="998"/>
      <c r="AB183" s="998"/>
      <c r="AC183" s="998"/>
      <c r="AD183" s="998"/>
      <c r="AE183" s="998"/>
      <c r="AF183" s="998"/>
      <c r="AG183" s="998"/>
      <c r="AH183" s="998"/>
      <c r="AI183" s="1024"/>
      <c r="AJ183" s="1024"/>
      <c r="AK183" s="1021"/>
      <c r="AL183" s="1021"/>
    </row>
    <row r="184" spans="1:209" s="1003" customFormat="1" ht="30.75" customHeight="1">
      <c r="A184" s="950">
        <v>1</v>
      </c>
      <c r="B184" s="952" t="s">
        <v>764</v>
      </c>
      <c r="C184" s="952" t="s">
        <v>877</v>
      </c>
      <c r="D184" s="950" t="s">
        <v>153</v>
      </c>
      <c r="E184" s="950">
        <v>1</v>
      </c>
      <c r="F184" s="950" t="s">
        <v>103</v>
      </c>
      <c r="G184" s="956">
        <v>5.8</v>
      </c>
      <c r="H184" s="957">
        <v>17697</v>
      </c>
      <c r="I184" s="955">
        <v>2</v>
      </c>
      <c r="J184" s="958"/>
      <c r="K184" s="958">
        <f t="shared" ref="K184:K186" si="186">H184*G184*E184*I184</f>
        <v>205285.19999999998</v>
      </c>
      <c r="L184" s="958">
        <v>1</v>
      </c>
      <c r="M184" s="958"/>
      <c r="N184" s="958"/>
      <c r="O184" s="958"/>
      <c r="P184" s="958"/>
      <c r="Q184" s="958"/>
      <c r="R184" s="958"/>
      <c r="S184" s="958"/>
      <c r="T184" s="958"/>
      <c r="U184" s="958"/>
      <c r="V184" s="958"/>
      <c r="W184" s="958"/>
      <c r="X184" s="958"/>
      <c r="Y184" s="958">
        <v>70</v>
      </c>
      <c r="Z184" s="959">
        <f>Y184*350%</f>
        <v>245</v>
      </c>
      <c r="AA184" s="959">
        <f t="shared" ref="AA184" si="187">K184*Z184%</f>
        <v>502948.74</v>
      </c>
      <c r="AB184" s="959"/>
      <c r="AC184" s="959"/>
      <c r="AD184" s="958">
        <f t="shared" ref="AD184:AD186" si="188">K184*0.1</f>
        <v>20528.52</v>
      </c>
      <c r="AE184" s="958">
        <f t="shared" ref="AE184:AE186" si="189">K184+N184+O184+Q184+S184+U184+W184+X184+AA184+AD184+AC184</f>
        <v>728762.46</v>
      </c>
      <c r="AF184" s="958">
        <f t="shared" ref="AF184:AF186" si="190">AE184*12</f>
        <v>8745149.5199999996</v>
      </c>
      <c r="AG184" s="958">
        <f t="shared" ref="AG184:AG186" si="191">K184</f>
        <v>205285.19999999998</v>
      </c>
      <c r="AH184" s="958">
        <f t="shared" ref="AH184:AH186" si="192">AE184*12+AG184</f>
        <v>8950434.7199999988</v>
      </c>
      <c r="AK184" s="1014"/>
      <c r="AL184" s="1014"/>
    </row>
    <row r="185" spans="1:209" s="1013" customFormat="1" ht="30.75" customHeight="1">
      <c r="A185" s="994">
        <v>2</v>
      </c>
      <c r="B185" s="951" t="s">
        <v>854</v>
      </c>
      <c r="C185" s="952" t="s">
        <v>855</v>
      </c>
      <c r="D185" s="953" t="s">
        <v>73</v>
      </c>
      <c r="E185" s="954">
        <v>1</v>
      </c>
      <c r="F185" s="950" t="s">
        <v>88</v>
      </c>
      <c r="G185" s="956">
        <v>4.83</v>
      </c>
      <c r="H185" s="957">
        <v>17697</v>
      </c>
      <c r="I185" s="955">
        <v>2</v>
      </c>
      <c r="J185" s="958"/>
      <c r="K185" s="958">
        <f t="shared" si="186"/>
        <v>170953.02</v>
      </c>
      <c r="L185" s="958">
        <v>1</v>
      </c>
      <c r="M185" s="958"/>
      <c r="N185" s="958"/>
      <c r="O185" s="958"/>
      <c r="P185" s="958"/>
      <c r="Q185" s="958"/>
      <c r="R185" s="958"/>
      <c r="S185" s="958"/>
      <c r="T185" s="958"/>
      <c r="U185" s="958"/>
      <c r="V185" s="958"/>
      <c r="W185" s="958"/>
      <c r="X185" s="958"/>
      <c r="Y185" s="958">
        <v>30</v>
      </c>
      <c r="Z185" s="959">
        <f t="shared" ref="Z185:Z186" si="193">Y185*350%</f>
        <v>105</v>
      </c>
      <c r="AA185" s="959">
        <f>K185*Z185%</f>
        <v>179500.671</v>
      </c>
      <c r="AB185" s="959"/>
      <c r="AC185" s="959"/>
      <c r="AD185" s="958">
        <f t="shared" si="188"/>
        <v>17095.302</v>
      </c>
      <c r="AE185" s="958">
        <f t="shared" si="189"/>
        <v>367548.99300000002</v>
      </c>
      <c r="AF185" s="958">
        <f t="shared" si="190"/>
        <v>4410587.9160000002</v>
      </c>
      <c r="AG185" s="958">
        <f t="shared" si="191"/>
        <v>170953.02</v>
      </c>
      <c r="AH185" s="958">
        <f t="shared" si="192"/>
        <v>4581540.9359999998</v>
      </c>
      <c r="AI185" s="1020"/>
      <c r="AJ185" s="1020"/>
      <c r="AK185" s="1021"/>
      <c r="AL185" s="1021"/>
    </row>
    <row r="186" spans="1:209" s="1013" customFormat="1" ht="30.75" customHeight="1">
      <c r="A186" s="994">
        <v>3</v>
      </c>
      <c r="B186" s="951" t="s">
        <v>1225</v>
      </c>
      <c r="C186" s="971" t="s">
        <v>856</v>
      </c>
      <c r="D186" s="953" t="s">
        <v>73</v>
      </c>
      <c r="E186" s="954">
        <v>1</v>
      </c>
      <c r="F186" s="950" t="s">
        <v>584</v>
      </c>
      <c r="G186" s="956">
        <v>4.2699999999999996</v>
      </c>
      <c r="H186" s="957">
        <v>17697</v>
      </c>
      <c r="I186" s="955">
        <v>2</v>
      </c>
      <c r="J186" s="958"/>
      <c r="K186" s="958">
        <f t="shared" si="186"/>
        <v>151132.37999999998</v>
      </c>
      <c r="L186" s="958">
        <v>1</v>
      </c>
      <c r="M186" s="958"/>
      <c r="N186" s="958"/>
      <c r="O186" s="958"/>
      <c r="P186" s="958"/>
      <c r="Q186" s="958"/>
      <c r="R186" s="958"/>
      <c r="S186" s="958"/>
      <c r="T186" s="958"/>
      <c r="U186" s="958"/>
      <c r="V186" s="958"/>
      <c r="W186" s="958"/>
      <c r="X186" s="958"/>
      <c r="Y186" s="958">
        <v>30</v>
      </c>
      <c r="Z186" s="959">
        <f t="shared" si="193"/>
        <v>105</v>
      </c>
      <c r="AA186" s="959">
        <f>K186*Z186%</f>
        <v>158688.99899999998</v>
      </c>
      <c r="AB186" s="959"/>
      <c r="AC186" s="959"/>
      <c r="AD186" s="958">
        <f t="shared" si="188"/>
        <v>15113.237999999998</v>
      </c>
      <c r="AE186" s="958">
        <f t="shared" si="189"/>
        <v>324934.61699999997</v>
      </c>
      <c r="AF186" s="958">
        <f t="shared" si="190"/>
        <v>3899215.4039999996</v>
      </c>
      <c r="AG186" s="958">
        <f t="shared" si="191"/>
        <v>151132.37999999998</v>
      </c>
      <c r="AH186" s="958">
        <f t="shared" si="192"/>
        <v>4050347.7839999995</v>
      </c>
      <c r="AI186" s="1020"/>
      <c r="AJ186" s="1020"/>
      <c r="AK186" s="1021"/>
      <c r="AL186" s="1021"/>
    </row>
    <row r="187" spans="1:209" s="1013" customFormat="1" ht="28.5" customHeight="1">
      <c r="A187" s="963"/>
      <c r="B187" s="1001" t="s">
        <v>627</v>
      </c>
      <c r="C187" s="964"/>
      <c r="D187" s="1008"/>
      <c r="E187" s="999">
        <f>SUM(E184:E186)</f>
        <v>3</v>
      </c>
      <c r="F187" s="1008"/>
      <c r="G187" s="1008"/>
      <c r="H187" s="998"/>
      <c r="I187" s="998"/>
      <c r="J187" s="998"/>
      <c r="K187" s="999">
        <f>SUM(K184:K186)</f>
        <v>527370.6</v>
      </c>
      <c r="L187" s="965"/>
      <c r="M187" s="965"/>
      <c r="N187" s="965"/>
      <c r="O187" s="965"/>
      <c r="P187" s="965"/>
      <c r="Q187" s="965"/>
      <c r="R187" s="965"/>
      <c r="S187" s="965"/>
      <c r="T187" s="965"/>
      <c r="U187" s="965"/>
      <c r="V187" s="965"/>
      <c r="W187" s="965"/>
      <c r="X187" s="965"/>
      <c r="Y187" s="965"/>
      <c r="Z187" s="965"/>
      <c r="AA187" s="999">
        <f>SUM(AA184:AA186)</f>
        <v>841138.40999999992</v>
      </c>
      <c r="AB187" s="961"/>
      <c r="AC187" s="961"/>
      <c r="AD187" s="999">
        <f t="shared" ref="AD187:AH187" si="194">SUM(AD184:AD186)</f>
        <v>52737.06</v>
      </c>
      <c r="AE187" s="999">
        <f t="shared" si="194"/>
        <v>1421246.0699999998</v>
      </c>
      <c r="AF187" s="999">
        <f t="shared" si="194"/>
        <v>17054952.84</v>
      </c>
      <c r="AG187" s="999">
        <f t="shared" si="194"/>
        <v>527370.6</v>
      </c>
      <c r="AH187" s="999">
        <f t="shared" si="194"/>
        <v>17582323.439999998</v>
      </c>
      <c r="AI187" s="1022"/>
      <c r="AJ187" s="1022"/>
      <c r="AK187" s="1021"/>
      <c r="AL187" s="1021"/>
    </row>
    <row r="188" spans="1:209" s="1003" customFormat="1" ht="30.75" customHeight="1">
      <c r="A188" s="950"/>
      <c r="B188" s="952"/>
      <c r="C188" s="964"/>
      <c r="D188" s="963"/>
      <c r="E188" s="963"/>
      <c r="F188" s="963"/>
      <c r="G188" s="963"/>
      <c r="H188" s="963"/>
      <c r="I188" s="963"/>
      <c r="J188" s="963"/>
      <c r="K188" s="963"/>
      <c r="L188" s="963"/>
      <c r="M188" s="963"/>
      <c r="N188" s="963"/>
      <c r="O188" s="963"/>
      <c r="P188" s="963"/>
      <c r="Q188" s="966" t="s">
        <v>1226</v>
      </c>
      <c r="R188" s="963"/>
      <c r="S188" s="963"/>
      <c r="T188" s="963"/>
      <c r="U188" s="963"/>
      <c r="V188" s="963"/>
      <c r="W188" s="963"/>
      <c r="X188" s="963"/>
      <c r="Y188" s="963"/>
      <c r="Z188" s="963"/>
      <c r="AA188" s="963"/>
      <c r="AB188" s="963"/>
      <c r="AC188" s="963"/>
      <c r="AD188" s="963"/>
      <c r="AE188" s="963"/>
      <c r="AF188" s="963"/>
      <c r="AG188" s="963"/>
      <c r="AH188" s="963"/>
      <c r="AI188" s="1013"/>
      <c r="AJ188" s="1013"/>
      <c r="AK188" s="1021"/>
      <c r="AL188" s="1021"/>
      <c r="AM188" s="1013"/>
      <c r="AN188" s="1013"/>
      <c r="AO188" s="1013"/>
      <c r="AP188" s="1013"/>
      <c r="AQ188" s="1013"/>
      <c r="AR188" s="1013"/>
      <c r="AS188" s="1013"/>
      <c r="AT188" s="1013"/>
      <c r="AU188" s="1013"/>
      <c r="AV188" s="1013"/>
      <c r="AW188" s="1013"/>
      <c r="AX188" s="1013"/>
      <c r="AY188" s="1013"/>
      <c r="AZ188" s="1013"/>
      <c r="BA188" s="1013"/>
      <c r="BB188" s="1013"/>
      <c r="BC188" s="1013"/>
      <c r="BD188" s="1013"/>
      <c r="BE188" s="1013"/>
      <c r="BF188" s="1013"/>
      <c r="BG188" s="1013"/>
      <c r="BH188" s="1013"/>
      <c r="BI188" s="1013"/>
      <c r="BJ188" s="1013"/>
      <c r="BK188" s="1013"/>
      <c r="BL188" s="1013"/>
      <c r="BM188" s="1013"/>
      <c r="BN188" s="1013"/>
      <c r="BO188" s="1013"/>
      <c r="BP188" s="1013"/>
      <c r="BQ188" s="1013"/>
      <c r="BR188" s="1013"/>
      <c r="BS188" s="1013"/>
      <c r="BT188" s="1013"/>
      <c r="BU188" s="1013"/>
      <c r="BV188" s="1013"/>
      <c r="BW188" s="1013"/>
      <c r="BX188" s="1013"/>
      <c r="BY188" s="1013"/>
      <c r="BZ188" s="1013"/>
      <c r="CA188" s="1013"/>
      <c r="CB188" s="1013"/>
      <c r="CC188" s="1013"/>
      <c r="CD188" s="1013"/>
      <c r="CE188" s="1013"/>
      <c r="CF188" s="1013"/>
      <c r="CG188" s="1013"/>
      <c r="CH188" s="1013"/>
      <c r="CI188" s="1013"/>
      <c r="CJ188" s="1013"/>
      <c r="CK188" s="1013"/>
      <c r="CL188" s="1013"/>
      <c r="CM188" s="1013"/>
      <c r="CN188" s="1013"/>
      <c r="CO188" s="1013"/>
      <c r="CP188" s="1013"/>
      <c r="CQ188" s="1013"/>
      <c r="CR188" s="1013"/>
      <c r="CS188" s="1013"/>
      <c r="CT188" s="1013"/>
      <c r="CU188" s="1013"/>
      <c r="CV188" s="1013"/>
      <c r="CW188" s="1013"/>
      <c r="CX188" s="1013"/>
      <c r="CY188" s="1013"/>
      <c r="CZ188" s="1013"/>
      <c r="DA188" s="1013"/>
      <c r="DB188" s="1013"/>
      <c r="DC188" s="1013"/>
      <c r="DD188" s="1013"/>
      <c r="DE188" s="1013"/>
      <c r="DF188" s="1013"/>
      <c r="DG188" s="1013"/>
      <c r="DH188" s="1013"/>
      <c r="DI188" s="1013"/>
      <c r="DJ188" s="1013"/>
      <c r="DK188" s="1013"/>
      <c r="DL188" s="1013"/>
      <c r="DM188" s="1013"/>
      <c r="DN188" s="1013"/>
      <c r="DO188" s="1013"/>
      <c r="DP188" s="1013"/>
      <c r="DQ188" s="1013"/>
      <c r="DR188" s="1013"/>
      <c r="DS188" s="1013"/>
      <c r="DT188" s="1013"/>
      <c r="DU188" s="1013"/>
      <c r="DV188" s="1013"/>
      <c r="DW188" s="1013"/>
      <c r="DX188" s="1013"/>
      <c r="DY188" s="1013"/>
      <c r="DZ188" s="1013"/>
      <c r="EA188" s="1013"/>
      <c r="EB188" s="1013"/>
      <c r="EC188" s="1013"/>
      <c r="ED188" s="1013"/>
      <c r="EE188" s="1013"/>
      <c r="EF188" s="1013"/>
      <c r="EG188" s="1013"/>
      <c r="EH188" s="1013"/>
      <c r="EI188" s="1013"/>
      <c r="EJ188" s="1013"/>
      <c r="EK188" s="1013"/>
      <c r="EL188" s="1013"/>
      <c r="EM188" s="1013"/>
      <c r="EN188" s="1013"/>
      <c r="EO188" s="1013"/>
      <c r="EP188" s="1013"/>
      <c r="EQ188" s="1013"/>
      <c r="ER188" s="1013"/>
      <c r="ES188" s="1013"/>
      <c r="ET188" s="1013"/>
      <c r="EU188" s="1013"/>
      <c r="EV188" s="1013"/>
      <c r="EW188" s="1013"/>
      <c r="EX188" s="1013"/>
      <c r="EY188" s="1013"/>
      <c r="EZ188" s="1013"/>
      <c r="FA188" s="1013"/>
      <c r="FB188" s="1013"/>
      <c r="FC188" s="1013"/>
      <c r="FD188" s="1013"/>
      <c r="FE188" s="1013"/>
      <c r="FF188" s="1013"/>
      <c r="FG188" s="1013"/>
      <c r="FH188" s="1013"/>
      <c r="FI188" s="1013"/>
      <c r="FJ188" s="1013"/>
      <c r="FK188" s="1013"/>
      <c r="FL188" s="1013"/>
      <c r="FM188" s="1013"/>
      <c r="FN188" s="1013"/>
      <c r="FO188" s="1013"/>
      <c r="FP188" s="1013"/>
      <c r="FQ188" s="1013"/>
      <c r="FR188" s="1013"/>
      <c r="FS188" s="1013"/>
      <c r="FT188" s="1013"/>
      <c r="FU188" s="1013"/>
      <c r="FV188" s="1013"/>
      <c r="FW188" s="1013"/>
      <c r="FX188" s="1013"/>
      <c r="FY188" s="1013"/>
      <c r="FZ188" s="1013"/>
      <c r="GA188" s="1013"/>
      <c r="GB188" s="1013"/>
      <c r="GC188" s="1013"/>
      <c r="GD188" s="1013"/>
      <c r="GE188" s="1013"/>
      <c r="GF188" s="1013"/>
      <c r="GG188" s="1013"/>
      <c r="GH188" s="1013"/>
      <c r="GI188" s="1013"/>
      <c r="GJ188" s="1013"/>
      <c r="GK188" s="1013"/>
      <c r="GL188" s="1013"/>
      <c r="GM188" s="1013"/>
      <c r="GN188" s="1013"/>
      <c r="GO188" s="1013"/>
      <c r="GP188" s="1013"/>
      <c r="GQ188" s="1013"/>
      <c r="GR188" s="1013"/>
      <c r="GS188" s="1013"/>
      <c r="GT188" s="1013"/>
      <c r="GU188" s="1013"/>
      <c r="GV188" s="1013"/>
      <c r="GW188" s="1013"/>
      <c r="GX188" s="1013"/>
      <c r="GY188" s="1013"/>
      <c r="GZ188" s="1013"/>
      <c r="HA188" s="1013"/>
    </row>
    <row r="189" spans="1:209" s="1003" customFormat="1" ht="39.75" customHeight="1">
      <c r="A189" s="950">
        <v>1</v>
      </c>
      <c r="B189" s="952" t="s">
        <v>150</v>
      </c>
      <c r="C189" s="952" t="s">
        <v>714</v>
      </c>
      <c r="D189" s="953" t="s">
        <v>151</v>
      </c>
      <c r="E189" s="954">
        <v>1</v>
      </c>
      <c r="F189" s="950" t="s">
        <v>88</v>
      </c>
      <c r="G189" s="950">
        <v>6.46</v>
      </c>
      <c r="H189" s="957">
        <v>17697</v>
      </c>
      <c r="I189" s="955">
        <v>2</v>
      </c>
      <c r="J189" s="958"/>
      <c r="K189" s="958">
        <f t="shared" ref="K189:K193" si="195">H189*G189*E189*I189</f>
        <v>228645.24</v>
      </c>
      <c r="L189" s="958">
        <v>1</v>
      </c>
      <c r="M189" s="958"/>
      <c r="N189" s="958"/>
      <c r="O189" s="958"/>
      <c r="P189" s="958"/>
      <c r="Q189" s="958"/>
      <c r="R189" s="958"/>
      <c r="S189" s="958"/>
      <c r="T189" s="958"/>
      <c r="U189" s="958"/>
      <c r="V189" s="958"/>
      <c r="W189" s="958"/>
      <c r="X189" s="958"/>
      <c r="Y189" s="958">
        <v>70</v>
      </c>
      <c r="Z189" s="959">
        <f>Y189*350%</f>
        <v>245</v>
      </c>
      <c r="AA189" s="959">
        <f t="shared" ref="AA189" si="196">K189*Z189%</f>
        <v>560180.83799999999</v>
      </c>
      <c r="AB189" s="959"/>
      <c r="AC189" s="959"/>
      <c r="AD189" s="958">
        <f t="shared" ref="AD189:AD193" si="197">K189*0.1</f>
        <v>22864.524000000001</v>
      </c>
      <c r="AE189" s="958">
        <f t="shared" ref="AE189:AE192" si="198">K189+N189+O189+Q189+S189+U189+W189+X189+AA189+AD189+AC189</f>
        <v>811690.60199999996</v>
      </c>
      <c r="AF189" s="958">
        <f t="shared" ref="AF189:AF192" si="199">AE189*12</f>
        <v>9740287.2239999995</v>
      </c>
      <c r="AG189" s="958">
        <f t="shared" ref="AG189:AG193" si="200">K189</f>
        <v>228645.24</v>
      </c>
      <c r="AH189" s="958">
        <f t="shared" ref="AH189:AH193" si="201">AE189*12+AG189</f>
        <v>9968932.4639999997</v>
      </c>
      <c r="AK189" s="1014"/>
      <c r="AL189" s="1014"/>
    </row>
    <row r="190" spans="1:209" s="1003" customFormat="1" ht="38.25" customHeight="1">
      <c r="A190" s="994">
        <v>2</v>
      </c>
      <c r="B190" s="951" t="s">
        <v>857</v>
      </c>
      <c r="C190" s="952" t="s">
        <v>858</v>
      </c>
      <c r="D190" s="956" t="s">
        <v>73</v>
      </c>
      <c r="E190" s="954">
        <v>1</v>
      </c>
      <c r="F190" s="950" t="s">
        <v>88</v>
      </c>
      <c r="G190" s="956">
        <v>4.83</v>
      </c>
      <c r="H190" s="957">
        <v>17697</v>
      </c>
      <c r="I190" s="955">
        <v>2</v>
      </c>
      <c r="J190" s="958"/>
      <c r="K190" s="958">
        <f t="shared" si="195"/>
        <v>170953.02</v>
      </c>
      <c r="L190" s="958">
        <v>0</v>
      </c>
      <c r="M190" s="958"/>
      <c r="N190" s="958"/>
      <c r="O190" s="958"/>
      <c r="P190" s="958"/>
      <c r="Q190" s="958"/>
      <c r="R190" s="958">
        <v>25</v>
      </c>
      <c r="S190" s="958">
        <f>E190*H190*R190%</f>
        <v>4424.25</v>
      </c>
      <c r="T190" s="958"/>
      <c r="U190" s="958"/>
      <c r="V190" s="958"/>
      <c r="W190" s="958"/>
      <c r="X190" s="958"/>
      <c r="Y190" s="958">
        <v>30</v>
      </c>
      <c r="Z190" s="959">
        <f t="shared" ref="Z190:Z193" si="202">Y190*350%</f>
        <v>105</v>
      </c>
      <c r="AA190" s="959">
        <f>K190*Z190%</f>
        <v>179500.671</v>
      </c>
      <c r="AB190" s="959"/>
      <c r="AC190" s="959"/>
      <c r="AD190" s="958">
        <f t="shared" si="197"/>
        <v>17095.302</v>
      </c>
      <c r="AE190" s="958">
        <f t="shared" si="198"/>
        <v>371973.24300000002</v>
      </c>
      <c r="AF190" s="958">
        <f t="shared" si="199"/>
        <v>4463678.9160000002</v>
      </c>
      <c r="AG190" s="958">
        <f t="shared" si="200"/>
        <v>170953.02</v>
      </c>
      <c r="AH190" s="958">
        <f t="shared" si="201"/>
        <v>4634631.9359999998</v>
      </c>
      <c r="AI190" s="1020"/>
      <c r="AJ190" s="1020"/>
      <c r="AK190" s="1021"/>
      <c r="AL190" s="1021"/>
      <c r="AM190" s="1013"/>
      <c r="AN190" s="1013"/>
      <c r="AO190" s="1013"/>
      <c r="AP190" s="1013"/>
      <c r="AQ190" s="1013"/>
      <c r="AR190" s="1013"/>
      <c r="AS190" s="1013"/>
      <c r="AT190" s="1013"/>
      <c r="AU190" s="1013"/>
      <c r="AV190" s="1013"/>
      <c r="AW190" s="1013"/>
      <c r="AX190" s="1013"/>
      <c r="AY190" s="1013"/>
      <c r="AZ190" s="1013"/>
      <c r="BA190" s="1013"/>
      <c r="BB190" s="1013"/>
      <c r="BC190" s="1013"/>
      <c r="BD190" s="1013"/>
      <c r="BE190" s="1013"/>
      <c r="BF190" s="1013"/>
      <c r="BG190" s="1013"/>
      <c r="BH190" s="1013"/>
      <c r="BI190" s="1013"/>
      <c r="BJ190" s="1013"/>
      <c r="BK190" s="1013"/>
      <c r="BL190" s="1013"/>
      <c r="BM190" s="1013"/>
      <c r="BN190" s="1013"/>
      <c r="BO190" s="1013"/>
      <c r="BP190" s="1013"/>
      <c r="BQ190" s="1013"/>
      <c r="BR190" s="1013"/>
      <c r="BS190" s="1013"/>
      <c r="BT190" s="1013"/>
      <c r="BU190" s="1013"/>
      <c r="BV190" s="1013"/>
      <c r="BW190" s="1013"/>
      <c r="BX190" s="1013"/>
      <c r="BY190" s="1013"/>
      <c r="BZ190" s="1013"/>
      <c r="CA190" s="1013"/>
      <c r="CB190" s="1013"/>
      <c r="CC190" s="1013"/>
      <c r="CD190" s="1013"/>
      <c r="CE190" s="1013"/>
      <c r="CF190" s="1013"/>
      <c r="CG190" s="1013"/>
      <c r="CH190" s="1013"/>
      <c r="CI190" s="1013"/>
      <c r="CJ190" s="1013"/>
      <c r="CK190" s="1013"/>
      <c r="CL190" s="1013"/>
      <c r="CM190" s="1013"/>
      <c r="CN190" s="1013"/>
      <c r="CO190" s="1013"/>
      <c r="CP190" s="1013"/>
      <c r="CQ190" s="1013"/>
      <c r="CR190" s="1013"/>
      <c r="CS190" s="1013"/>
      <c r="CT190" s="1013"/>
      <c r="CU190" s="1013"/>
      <c r="CV190" s="1013"/>
      <c r="CW190" s="1013"/>
      <c r="CX190" s="1013"/>
      <c r="CY190" s="1013"/>
      <c r="CZ190" s="1013"/>
      <c r="DA190" s="1013"/>
      <c r="DB190" s="1013"/>
      <c r="DC190" s="1013"/>
      <c r="DD190" s="1013"/>
      <c r="DE190" s="1013"/>
      <c r="DF190" s="1013"/>
      <c r="DG190" s="1013"/>
      <c r="DH190" s="1013"/>
      <c r="DI190" s="1013"/>
      <c r="DJ190" s="1013"/>
      <c r="DK190" s="1013"/>
      <c r="DL190" s="1013"/>
      <c r="DM190" s="1013"/>
      <c r="DN190" s="1013"/>
      <c r="DO190" s="1013"/>
      <c r="DP190" s="1013"/>
      <c r="DQ190" s="1013"/>
      <c r="DR190" s="1013"/>
      <c r="DS190" s="1013"/>
      <c r="DT190" s="1013"/>
      <c r="DU190" s="1013"/>
      <c r="DV190" s="1013"/>
      <c r="DW190" s="1013"/>
      <c r="DX190" s="1013"/>
      <c r="DY190" s="1013"/>
      <c r="DZ190" s="1013"/>
      <c r="EA190" s="1013"/>
      <c r="EB190" s="1013"/>
      <c r="EC190" s="1013"/>
      <c r="ED190" s="1013"/>
      <c r="EE190" s="1013"/>
      <c r="EF190" s="1013"/>
      <c r="EG190" s="1013"/>
      <c r="EH190" s="1013"/>
      <c r="EI190" s="1013"/>
      <c r="EJ190" s="1013"/>
      <c r="EK190" s="1013"/>
      <c r="EL190" s="1013"/>
      <c r="EM190" s="1013"/>
      <c r="EN190" s="1013"/>
      <c r="EO190" s="1013"/>
      <c r="EP190" s="1013"/>
      <c r="EQ190" s="1013"/>
      <c r="ER190" s="1013"/>
      <c r="ES190" s="1013"/>
      <c r="ET190" s="1013"/>
      <c r="EU190" s="1013"/>
      <c r="EV190" s="1013"/>
      <c r="EW190" s="1013"/>
      <c r="EX190" s="1013"/>
      <c r="EY190" s="1013"/>
      <c r="EZ190" s="1013"/>
      <c r="FA190" s="1013"/>
      <c r="FB190" s="1013"/>
      <c r="FC190" s="1013"/>
      <c r="FD190" s="1013"/>
      <c r="FE190" s="1013"/>
      <c r="FF190" s="1013"/>
      <c r="FG190" s="1013"/>
      <c r="FH190" s="1013"/>
      <c r="FI190" s="1013"/>
      <c r="FJ190" s="1013"/>
      <c r="FK190" s="1013"/>
      <c r="FL190" s="1013"/>
      <c r="FM190" s="1013"/>
      <c r="FN190" s="1013"/>
      <c r="FO190" s="1013"/>
      <c r="FP190" s="1013"/>
      <c r="FQ190" s="1013"/>
      <c r="FR190" s="1013"/>
      <c r="FS190" s="1013"/>
      <c r="FT190" s="1013"/>
      <c r="FU190" s="1013"/>
      <c r="FV190" s="1013"/>
      <c r="FW190" s="1013"/>
      <c r="FX190" s="1013"/>
      <c r="FY190" s="1013"/>
      <c r="FZ190" s="1013"/>
      <c r="GA190" s="1013"/>
      <c r="GB190" s="1013"/>
      <c r="GC190" s="1013"/>
      <c r="GD190" s="1013"/>
      <c r="GE190" s="1013"/>
      <c r="GF190" s="1013"/>
      <c r="GG190" s="1013"/>
      <c r="GH190" s="1013"/>
      <c r="GI190" s="1013"/>
      <c r="GJ190" s="1013"/>
      <c r="GK190" s="1013"/>
      <c r="GL190" s="1013"/>
      <c r="GM190" s="1013"/>
      <c r="GN190" s="1013"/>
      <c r="GO190" s="1013"/>
      <c r="GP190" s="1013"/>
      <c r="GQ190" s="1013"/>
      <c r="GR190" s="1013"/>
      <c r="GS190" s="1013"/>
      <c r="GT190" s="1013"/>
      <c r="GU190" s="1013"/>
      <c r="GV190" s="1013"/>
      <c r="GW190" s="1013"/>
      <c r="GX190" s="1013"/>
      <c r="GY190" s="1013"/>
      <c r="GZ190" s="1013"/>
      <c r="HA190" s="1013"/>
    </row>
    <row r="191" spans="1:209" s="1003" customFormat="1" ht="34.5" customHeight="1">
      <c r="A191" s="950">
        <v>3</v>
      </c>
      <c r="B191" s="951" t="s">
        <v>859</v>
      </c>
      <c r="C191" s="951" t="s">
        <v>860</v>
      </c>
      <c r="D191" s="956" t="s">
        <v>73</v>
      </c>
      <c r="E191" s="954">
        <v>2</v>
      </c>
      <c r="F191" s="950" t="s">
        <v>106</v>
      </c>
      <c r="G191" s="956">
        <v>4.71</v>
      </c>
      <c r="H191" s="957">
        <v>17697</v>
      </c>
      <c r="I191" s="955">
        <v>2</v>
      </c>
      <c r="J191" s="958"/>
      <c r="K191" s="958">
        <f t="shared" si="195"/>
        <v>333411.48</v>
      </c>
      <c r="L191" s="958">
        <v>0</v>
      </c>
      <c r="M191" s="958"/>
      <c r="N191" s="958">
        <f>K191/164*0.5*58</f>
        <v>58956.908048780482</v>
      </c>
      <c r="O191" s="958">
        <f>K191/164*0.5*2.67</f>
        <v>2714.0507670731704</v>
      </c>
      <c r="P191" s="958"/>
      <c r="Q191" s="958"/>
      <c r="R191" s="958"/>
      <c r="S191" s="958"/>
      <c r="T191" s="958"/>
      <c r="U191" s="958"/>
      <c r="V191" s="958"/>
      <c r="W191" s="958"/>
      <c r="X191" s="958"/>
      <c r="Y191" s="958">
        <v>25</v>
      </c>
      <c r="Z191" s="959">
        <f t="shared" si="202"/>
        <v>87.5</v>
      </c>
      <c r="AA191" s="959">
        <f>K191*Z191%</f>
        <v>291735.04499999998</v>
      </c>
      <c r="AB191" s="959"/>
      <c r="AC191" s="959"/>
      <c r="AD191" s="958">
        <f t="shared" si="197"/>
        <v>33341.148000000001</v>
      </c>
      <c r="AE191" s="958">
        <f t="shared" si="198"/>
        <v>720158.63181585365</v>
      </c>
      <c r="AF191" s="958">
        <f t="shared" si="199"/>
        <v>8641903.5817902442</v>
      </c>
      <c r="AG191" s="958">
        <f t="shared" si="200"/>
        <v>333411.48</v>
      </c>
      <c r="AH191" s="958">
        <f t="shared" si="201"/>
        <v>8975315.0617902447</v>
      </c>
      <c r="AI191" s="1020"/>
      <c r="AJ191" s="1020"/>
      <c r="AK191" s="1021"/>
      <c r="AL191" s="1021"/>
      <c r="AM191" s="1013"/>
      <c r="AN191" s="1013"/>
      <c r="AO191" s="1013"/>
      <c r="AP191" s="1013"/>
      <c r="AQ191" s="1013"/>
      <c r="AR191" s="1013"/>
      <c r="AS191" s="1013"/>
      <c r="AT191" s="1013"/>
      <c r="AU191" s="1013"/>
      <c r="AV191" s="1013"/>
      <c r="AW191" s="1013"/>
      <c r="AX191" s="1013"/>
      <c r="AY191" s="1013"/>
      <c r="AZ191" s="1013"/>
      <c r="BA191" s="1013"/>
      <c r="BB191" s="1013"/>
      <c r="BC191" s="1013"/>
      <c r="BD191" s="1013"/>
      <c r="BE191" s="1013"/>
      <c r="BF191" s="1013"/>
      <c r="BG191" s="1013"/>
      <c r="BH191" s="1013"/>
      <c r="BI191" s="1013"/>
      <c r="BJ191" s="1013"/>
      <c r="BK191" s="1013"/>
      <c r="BL191" s="1013"/>
      <c r="BM191" s="1013"/>
      <c r="BN191" s="1013"/>
      <c r="BO191" s="1013"/>
      <c r="BP191" s="1013"/>
      <c r="BQ191" s="1013"/>
      <c r="BR191" s="1013"/>
      <c r="BS191" s="1013"/>
      <c r="BT191" s="1013"/>
      <c r="BU191" s="1013"/>
      <c r="BV191" s="1013"/>
      <c r="BW191" s="1013"/>
      <c r="BX191" s="1013"/>
      <c r="BY191" s="1013"/>
      <c r="BZ191" s="1013"/>
      <c r="CA191" s="1013"/>
      <c r="CB191" s="1013"/>
      <c r="CC191" s="1013"/>
      <c r="CD191" s="1013"/>
      <c r="CE191" s="1013"/>
      <c r="CF191" s="1013"/>
      <c r="CG191" s="1013"/>
      <c r="CH191" s="1013"/>
      <c r="CI191" s="1013"/>
      <c r="CJ191" s="1013"/>
      <c r="CK191" s="1013"/>
      <c r="CL191" s="1013"/>
      <c r="CM191" s="1013"/>
      <c r="CN191" s="1013"/>
      <c r="CO191" s="1013"/>
      <c r="CP191" s="1013"/>
      <c r="CQ191" s="1013"/>
      <c r="CR191" s="1013"/>
      <c r="CS191" s="1013"/>
      <c r="CT191" s="1013"/>
      <c r="CU191" s="1013"/>
      <c r="CV191" s="1013"/>
      <c r="CW191" s="1013"/>
      <c r="CX191" s="1013"/>
      <c r="CY191" s="1013"/>
      <c r="CZ191" s="1013"/>
      <c r="DA191" s="1013"/>
      <c r="DB191" s="1013"/>
      <c r="DC191" s="1013"/>
      <c r="DD191" s="1013"/>
      <c r="DE191" s="1013"/>
      <c r="DF191" s="1013"/>
      <c r="DG191" s="1013"/>
      <c r="DH191" s="1013"/>
      <c r="DI191" s="1013"/>
      <c r="DJ191" s="1013"/>
      <c r="DK191" s="1013"/>
      <c r="DL191" s="1013"/>
      <c r="DM191" s="1013"/>
      <c r="DN191" s="1013"/>
      <c r="DO191" s="1013"/>
      <c r="DP191" s="1013"/>
      <c r="DQ191" s="1013"/>
      <c r="DR191" s="1013"/>
      <c r="DS191" s="1013"/>
      <c r="DT191" s="1013"/>
      <c r="DU191" s="1013"/>
      <c r="DV191" s="1013"/>
      <c r="DW191" s="1013"/>
      <c r="DX191" s="1013"/>
      <c r="DY191" s="1013"/>
      <c r="DZ191" s="1013"/>
      <c r="EA191" s="1013"/>
      <c r="EB191" s="1013"/>
      <c r="EC191" s="1013"/>
      <c r="ED191" s="1013"/>
      <c r="EE191" s="1013"/>
      <c r="EF191" s="1013"/>
      <c r="EG191" s="1013"/>
      <c r="EH191" s="1013"/>
      <c r="EI191" s="1013"/>
      <c r="EJ191" s="1013"/>
      <c r="EK191" s="1013"/>
      <c r="EL191" s="1013"/>
      <c r="EM191" s="1013"/>
      <c r="EN191" s="1013"/>
      <c r="EO191" s="1013"/>
      <c r="EP191" s="1013"/>
      <c r="EQ191" s="1013"/>
      <c r="ER191" s="1013"/>
      <c r="ES191" s="1013"/>
      <c r="ET191" s="1013"/>
      <c r="EU191" s="1013"/>
      <c r="EV191" s="1013"/>
      <c r="EW191" s="1013"/>
      <c r="EX191" s="1013"/>
      <c r="EY191" s="1013"/>
      <c r="EZ191" s="1013"/>
      <c r="FA191" s="1013"/>
      <c r="FB191" s="1013"/>
      <c r="FC191" s="1013"/>
      <c r="FD191" s="1013"/>
      <c r="FE191" s="1013"/>
      <c r="FF191" s="1013"/>
      <c r="FG191" s="1013"/>
      <c r="FH191" s="1013"/>
      <c r="FI191" s="1013"/>
      <c r="FJ191" s="1013"/>
      <c r="FK191" s="1013"/>
      <c r="FL191" s="1013"/>
      <c r="FM191" s="1013"/>
      <c r="FN191" s="1013"/>
      <c r="FO191" s="1013"/>
      <c r="FP191" s="1013"/>
      <c r="FQ191" s="1013"/>
      <c r="FR191" s="1013"/>
      <c r="FS191" s="1013"/>
      <c r="FT191" s="1013"/>
      <c r="FU191" s="1013"/>
      <c r="FV191" s="1013"/>
      <c r="FW191" s="1013"/>
      <c r="FX191" s="1013"/>
      <c r="FY191" s="1013"/>
      <c r="FZ191" s="1013"/>
      <c r="GA191" s="1013"/>
      <c r="GB191" s="1013"/>
      <c r="GC191" s="1013"/>
      <c r="GD191" s="1013"/>
      <c r="GE191" s="1013"/>
      <c r="GF191" s="1013"/>
      <c r="GG191" s="1013"/>
      <c r="GH191" s="1013"/>
      <c r="GI191" s="1013"/>
      <c r="GJ191" s="1013"/>
      <c r="GK191" s="1013"/>
      <c r="GL191" s="1013"/>
      <c r="GM191" s="1013"/>
      <c r="GN191" s="1013"/>
      <c r="GO191" s="1013"/>
      <c r="GP191" s="1013"/>
      <c r="GQ191" s="1013"/>
      <c r="GR191" s="1013"/>
      <c r="GS191" s="1013"/>
      <c r="GT191" s="1013"/>
      <c r="GU191" s="1013"/>
      <c r="GV191" s="1013"/>
      <c r="GW191" s="1013"/>
      <c r="GX191" s="1013"/>
      <c r="GY191" s="1013"/>
      <c r="GZ191" s="1013"/>
      <c r="HA191" s="1013"/>
    </row>
    <row r="192" spans="1:209" s="1003" customFormat="1" ht="30.75" customHeight="1">
      <c r="A192" s="994">
        <v>4</v>
      </c>
      <c r="B192" s="951" t="s">
        <v>859</v>
      </c>
      <c r="C192" s="951" t="s">
        <v>861</v>
      </c>
      <c r="D192" s="956" t="s">
        <v>73</v>
      </c>
      <c r="E192" s="954">
        <v>1</v>
      </c>
      <c r="F192" s="994" t="s">
        <v>103</v>
      </c>
      <c r="G192" s="956">
        <v>4.6100000000000003</v>
      </c>
      <c r="H192" s="957">
        <v>17697</v>
      </c>
      <c r="I192" s="955">
        <v>2</v>
      </c>
      <c r="J192" s="958"/>
      <c r="K192" s="958">
        <f t="shared" si="195"/>
        <v>163166.34000000003</v>
      </c>
      <c r="L192" s="958">
        <v>0</v>
      </c>
      <c r="M192" s="958"/>
      <c r="N192" s="958">
        <f>K192/164*0.5*58</f>
        <v>28852.584512195128</v>
      </c>
      <c r="O192" s="958">
        <f>K192/164*0.5*2.67</f>
        <v>1328.213804268293</v>
      </c>
      <c r="P192" s="958"/>
      <c r="Q192" s="958"/>
      <c r="R192" s="958"/>
      <c r="S192" s="958"/>
      <c r="T192" s="958"/>
      <c r="U192" s="958"/>
      <c r="V192" s="958"/>
      <c r="W192" s="958"/>
      <c r="X192" s="958"/>
      <c r="Y192" s="958">
        <v>25</v>
      </c>
      <c r="Z192" s="959">
        <f t="shared" si="202"/>
        <v>87.5</v>
      </c>
      <c r="AA192" s="959">
        <f>K192*Z192%</f>
        <v>142770.54750000002</v>
      </c>
      <c r="AB192" s="959"/>
      <c r="AC192" s="959"/>
      <c r="AD192" s="958">
        <f t="shared" si="197"/>
        <v>16316.634000000004</v>
      </c>
      <c r="AE192" s="958">
        <f t="shared" si="198"/>
        <v>352434.31981646351</v>
      </c>
      <c r="AF192" s="958">
        <f t="shared" si="199"/>
        <v>4229211.8377975617</v>
      </c>
      <c r="AG192" s="958">
        <f t="shared" si="200"/>
        <v>163166.34000000003</v>
      </c>
      <c r="AH192" s="958">
        <f t="shared" si="201"/>
        <v>4392378.1777975615</v>
      </c>
      <c r="AI192" s="1020"/>
      <c r="AJ192" s="1020"/>
      <c r="AK192" s="1021"/>
      <c r="AL192" s="1021"/>
      <c r="AM192" s="1013"/>
      <c r="AN192" s="1013"/>
      <c r="AO192" s="1013"/>
      <c r="AP192" s="1013"/>
      <c r="AQ192" s="1013"/>
      <c r="AR192" s="1013"/>
      <c r="AS192" s="1013"/>
      <c r="AT192" s="1013"/>
      <c r="AU192" s="1013"/>
      <c r="AV192" s="1013"/>
      <c r="AW192" s="1013"/>
      <c r="AX192" s="1013"/>
      <c r="AY192" s="1013"/>
      <c r="AZ192" s="1013"/>
      <c r="BA192" s="1013"/>
      <c r="BB192" s="1013"/>
      <c r="BC192" s="1013"/>
      <c r="BD192" s="1013"/>
      <c r="BE192" s="1013"/>
      <c r="BF192" s="1013"/>
      <c r="BG192" s="1013"/>
      <c r="BH192" s="1013"/>
      <c r="BI192" s="1013"/>
      <c r="BJ192" s="1013"/>
      <c r="BK192" s="1013"/>
      <c r="BL192" s="1013"/>
      <c r="BM192" s="1013"/>
      <c r="BN192" s="1013"/>
      <c r="BO192" s="1013"/>
      <c r="BP192" s="1013"/>
      <c r="BQ192" s="1013"/>
      <c r="BR192" s="1013"/>
      <c r="BS192" s="1013"/>
      <c r="BT192" s="1013"/>
      <c r="BU192" s="1013"/>
      <c r="BV192" s="1013"/>
      <c r="BW192" s="1013"/>
      <c r="BX192" s="1013"/>
      <c r="BY192" s="1013"/>
      <c r="BZ192" s="1013"/>
      <c r="CA192" s="1013"/>
      <c r="CB192" s="1013"/>
      <c r="CC192" s="1013"/>
      <c r="CD192" s="1013"/>
      <c r="CE192" s="1013"/>
      <c r="CF192" s="1013"/>
      <c r="CG192" s="1013"/>
      <c r="CH192" s="1013"/>
      <c r="CI192" s="1013"/>
      <c r="CJ192" s="1013"/>
      <c r="CK192" s="1013"/>
      <c r="CL192" s="1013"/>
      <c r="CM192" s="1013"/>
      <c r="CN192" s="1013"/>
      <c r="CO192" s="1013"/>
      <c r="CP192" s="1013"/>
      <c r="CQ192" s="1013"/>
      <c r="CR192" s="1013"/>
      <c r="CS192" s="1013"/>
      <c r="CT192" s="1013"/>
      <c r="CU192" s="1013"/>
      <c r="CV192" s="1013"/>
      <c r="CW192" s="1013"/>
      <c r="CX192" s="1013"/>
      <c r="CY192" s="1013"/>
      <c r="CZ192" s="1013"/>
      <c r="DA192" s="1013"/>
      <c r="DB192" s="1013"/>
      <c r="DC192" s="1013"/>
      <c r="DD192" s="1013"/>
      <c r="DE192" s="1013"/>
      <c r="DF192" s="1013"/>
      <c r="DG192" s="1013"/>
      <c r="DH192" s="1013"/>
      <c r="DI192" s="1013"/>
      <c r="DJ192" s="1013"/>
      <c r="DK192" s="1013"/>
      <c r="DL192" s="1013"/>
      <c r="DM192" s="1013"/>
      <c r="DN192" s="1013"/>
      <c r="DO192" s="1013"/>
      <c r="DP192" s="1013"/>
      <c r="DQ192" s="1013"/>
      <c r="DR192" s="1013"/>
      <c r="DS192" s="1013"/>
      <c r="DT192" s="1013"/>
      <c r="DU192" s="1013"/>
      <c r="DV192" s="1013"/>
      <c r="DW192" s="1013"/>
      <c r="DX192" s="1013"/>
      <c r="DY192" s="1013"/>
      <c r="DZ192" s="1013"/>
      <c r="EA192" s="1013"/>
      <c r="EB192" s="1013"/>
      <c r="EC192" s="1013"/>
      <c r="ED192" s="1013"/>
      <c r="EE192" s="1013"/>
      <c r="EF192" s="1013"/>
      <c r="EG192" s="1013"/>
      <c r="EH192" s="1013"/>
      <c r="EI192" s="1013"/>
      <c r="EJ192" s="1013"/>
      <c r="EK192" s="1013"/>
      <c r="EL192" s="1013"/>
      <c r="EM192" s="1013"/>
      <c r="EN192" s="1013"/>
      <c r="EO192" s="1013"/>
      <c r="EP192" s="1013"/>
      <c r="EQ192" s="1013"/>
      <c r="ER192" s="1013"/>
      <c r="ES192" s="1013"/>
      <c r="ET192" s="1013"/>
      <c r="EU192" s="1013"/>
      <c r="EV192" s="1013"/>
      <c r="EW192" s="1013"/>
      <c r="EX192" s="1013"/>
      <c r="EY192" s="1013"/>
      <c r="EZ192" s="1013"/>
      <c r="FA192" s="1013"/>
      <c r="FB192" s="1013"/>
      <c r="FC192" s="1013"/>
      <c r="FD192" s="1013"/>
      <c r="FE192" s="1013"/>
      <c r="FF192" s="1013"/>
      <c r="FG192" s="1013"/>
      <c r="FH192" s="1013"/>
      <c r="FI192" s="1013"/>
      <c r="FJ192" s="1013"/>
      <c r="FK192" s="1013"/>
      <c r="FL192" s="1013"/>
      <c r="FM192" s="1013"/>
      <c r="FN192" s="1013"/>
      <c r="FO192" s="1013"/>
      <c r="FP192" s="1013"/>
      <c r="FQ192" s="1013"/>
      <c r="FR192" s="1013"/>
      <c r="FS192" s="1013"/>
      <c r="FT192" s="1013"/>
      <c r="FU192" s="1013"/>
      <c r="FV192" s="1013"/>
      <c r="FW192" s="1013"/>
      <c r="FX192" s="1013"/>
      <c r="FY192" s="1013"/>
      <c r="FZ192" s="1013"/>
      <c r="GA192" s="1013"/>
      <c r="GB192" s="1013"/>
      <c r="GC192" s="1013"/>
      <c r="GD192" s="1013"/>
      <c r="GE192" s="1013"/>
      <c r="GF192" s="1013"/>
      <c r="GG192" s="1013"/>
      <c r="GH192" s="1013"/>
      <c r="GI192" s="1013"/>
      <c r="GJ192" s="1013"/>
      <c r="GK192" s="1013"/>
      <c r="GL192" s="1013"/>
      <c r="GM192" s="1013"/>
      <c r="GN192" s="1013"/>
      <c r="GO192" s="1013"/>
      <c r="GP192" s="1013"/>
      <c r="GQ192" s="1013"/>
      <c r="GR192" s="1013"/>
      <c r="GS192" s="1013"/>
      <c r="GT192" s="1013"/>
      <c r="GU192" s="1013"/>
      <c r="GV192" s="1013"/>
      <c r="GW192" s="1013"/>
      <c r="GX192" s="1013"/>
      <c r="GY192" s="1013"/>
      <c r="GZ192" s="1013"/>
      <c r="HA192" s="1013"/>
    </row>
    <row r="193" spans="1:255" s="1003" customFormat="1" ht="30.75" customHeight="1">
      <c r="A193" s="994">
        <v>5</v>
      </c>
      <c r="B193" s="951" t="s">
        <v>859</v>
      </c>
      <c r="C193" s="995" t="s">
        <v>862</v>
      </c>
      <c r="D193" s="956" t="s">
        <v>73</v>
      </c>
      <c r="E193" s="954">
        <v>1</v>
      </c>
      <c r="F193" s="950" t="s">
        <v>582</v>
      </c>
      <c r="G193" s="956">
        <v>4.1399999999999997</v>
      </c>
      <c r="H193" s="957">
        <v>17697</v>
      </c>
      <c r="I193" s="955">
        <v>2</v>
      </c>
      <c r="J193" s="958"/>
      <c r="K193" s="958">
        <f t="shared" si="195"/>
        <v>146531.15999999997</v>
      </c>
      <c r="L193" s="958">
        <v>0</v>
      </c>
      <c r="M193" s="958"/>
      <c r="N193" s="958">
        <f>K193/164*0.5*58</f>
        <v>25910.997804878043</v>
      </c>
      <c r="O193" s="958">
        <f>K193/164*0.5*2.67</f>
        <v>1192.7993817073168</v>
      </c>
      <c r="P193" s="958"/>
      <c r="Q193" s="958"/>
      <c r="R193" s="958"/>
      <c r="S193" s="958"/>
      <c r="T193" s="958"/>
      <c r="U193" s="958"/>
      <c r="V193" s="958"/>
      <c r="W193" s="958"/>
      <c r="X193" s="958"/>
      <c r="Y193" s="958">
        <v>25</v>
      </c>
      <c r="Z193" s="959">
        <f t="shared" si="202"/>
        <v>87.5</v>
      </c>
      <c r="AA193" s="959">
        <f>K193*Z193%</f>
        <v>128214.76499999998</v>
      </c>
      <c r="AB193" s="959"/>
      <c r="AC193" s="959"/>
      <c r="AD193" s="958">
        <f t="shared" si="197"/>
        <v>14653.115999999998</v>
      </c>
      <c r="AE193" s="958">
        <f>K193+N193+O193+Q193+S193+U193+W193+X193+AA193+AD193+AC193</f>
        <v>316502.83818658529</v>
      </c>
      <c r="AF193" s="958">
        <f>AE193*12</f>
        <v>3798034.0582390232</v>
      </c>
      <c r="AG193" s="958">
        <f t="shared" si="200"/>
        <v>146531.15999999997</v>
      </c>
      <c r="AH193" s="958">
        <f t="shared" si="201"/>
        <v>3944565.2182390234</v>
      </c>
      <c r="AI193" s="1020"/>
      <c r="AJ193" s="1020"/>
      <c r="AK193" s="1021"/>
      <c r="AL193" s="1021"/>
      <c r="AM193" s="1013"/>
      <c r="AN193" s="1013"/>
      <c r="AO193" s="1013"/>
      <c r="AP193" s="1013"/>
      <c r="AQ193" s="1013"/>
      <c r="AR193" s="1013"/>
      <c r="AS193" s="1013"/>
      <c r="AT193" s="1013"/>
      <c r="AU193" s="1013"/>
      <c r="AV193" s="1013"/>
      <c r="AW193" s="1013"/>
      <c r="AX193" s="1013"/>
      <c r="AY193" s="1013"/>
      <c r="AZ193" s="1013"/>
      <c r="BA193" s="1013"/>
      <c r="BB193" s="1013"/>
      <c r="BC193" s="1013"/>
      <c r="BD193" s="1013"/>
      <c r="BE193" s="1013"/>
      <c r="BF193" s="1013"/>
      <c r="BG193" s="1013"/>
      <c r="BH193" s="1013"/>
      <c r="BI193" s="1013"/>
      <c r="BJ193" s="1013"/>
      <c r="BK193" s="1013"/>
      <c r="BL193" s="1013"/>
      <c r="BM193" s="1013"/>
      <c r="BN193" s="1013"/>
      <c r="BO193" s="1013"/>
      <c r="BP193" s="1013"/>
      <c r="BQ193" s="1013"/>
      <c r="BR193" s="1013"/>
      <c r="BS193" s="1013"/>
      <c r="BT193" s="1013"/>
      <c r="BU193" s="1013"/>
      <c r="BV193" s="1013"/>
      <c r="BW193" s="1013"/>
      <c r="BX193" s="1013"/>
      <c r="BY193" s="1013"/>
      <c r="BZ193" s="1013"/>
      <c r="CA193" s="1013"/>
      <c r="CB193" s="1013"/>
      <c r="CC193" s="1013"/>
      <c r="CD193" s="1013"/>
      <c r="CE193" s="1013"/>
      <c r="CF193" s="1013"/>
      <c r="CG193" s="1013"/>
      <c r="CH193" s="1013"/>
      <c r="CI193" s="1013"/>
      <c r="CJ193" s="1013"/>
      <c r="CK193" s="1013"/>
      <c r="CL193" s="1013"/>
      <c r="CM193" s="1013"/>
      <c r="CN193" s="1013"/>
      <c r="CO193" s="1013"/>
      <c r="CP193" s="1013"/>
      <c r="CQ193" s="1013"/>
      <c r="CR193" s="1013"/>
      <c r="CS193" s="1013"/>
      <c r="CT193" s="1013"/>
      <c r="CU193" s="1013"/>
      <c r="CV193" s="1013"/>
      <c r="CW193" s="1013"/>
      <c r="CX193" s="1013"/>
      <c r="CY193" s="1013"/>
      <c r="CZ193" s="1013"/>
      <c r="DA193" s="1013"/>
      <c r="DB193" s="1013"/>
      <c r="DC193" s="1013"/>
      <c r="DD193" s="1013"/>
      <c r="DE193" s="1013"/>
      <c r="DF193" s="1013"/>
      <c r="DG193" s="1013"/>
      <c r="DH193" s="1013"/>
      <c r="DI193" s="1013"/>
      <c r="DJ193" s="1013"/>
      <c r="DK193" s="1013"/>
      <c r="DL193" s="1013"/>
      <c r="DM193" s="1013"/>
      <c r="DN193" s="1013"/>
      <c r="DO193" s="1013"/>
      <c r="DP193" s="1013"/>
      <c r="DQ193" s="1013"/>
      <c r="DR193" s="1013"/>
      <c r="DS193" s="1013"/>
      <c r="DT193" s="1013"/>
      <c r="DU193" s="1013"/>
      <c r="DV193" s="1013"/>
      <c r="DW193" s="1013"/>
      <c r="DX193" s="1013"/>
      <c r="DY193" s="1013"/>
      <c r="DZ193" s="1013"/>
      <c r="EA193" s="1013"/>
      <c r="EB193" s="1013"/>
      <c r="EC193" s="1013"/>
      <c r="ED193" s="1013"/>
      <c r="EE193" s="1013"/>
      <c r="EF193" s="1013"/>
      <c r="EG193" s="1013"/>
      <c r="EH193" s="1013"/>
      <c r="EI193" s="1013"/>
      <c r="EJ193" s="1013"/>
      <c r="EK193" s="1013"/>
      <c r="EL193" s="1013"/>
      <c r="EM193" s="1013"/>
      <c r="EN193" s="1013"/>
      <c r="EO193" s="1013"/>
      <c r="EP193" s="1013"/>
      <c r="EQ193" s="1013"/>
      <c r="ER193" s="1013"/>
      <c r="ES193" s="1013"/>
      <c r="ET193" s="1013"/>
      <c r="EU193" s="1013"/>
      <c r="EV193" s="1013"/>
      <c r="EW193" s="1013"/>
      <c r="EX193" s="1013"/>
      <c r="EY193" s="1013"/>
      <c r="EZ193" s="1013"/>
      <c r="FA193" s="1013"/>
      <c r="FB193" s="1013"/>
      <c r="FC193" s="1013"/>
      <c r="FD193" s="1013"/>
      <c r="FE193" s="1013"/>
      <c r="FF193" s="1013"/>
      <c r="FG193" s="1013"/>
      <c r="FH193" s="1013"/>
      <c r="FI193" s="1013"/>
      <c r="FJ193" s="1013"/>
      <c r="FK193" s="1013"/>
      <c r="FL193" s="1013"/>
      <c r="FM193" s="1013"/>
      <c r="FN193" s="1013"/>
      <c r="FO193" s="1013"/>
      <c r="FP193" s="1013"/>
      <c r="FQ193" s="1013"/>
      <c r="FR193" s="1013"/>
      <c r="FS193" s="1013"/>
      <c r="FT193" s="1013"/>
      <c r="FU193" s="1013"/>
      <c r="FV193" s="1013"/>
      <c r="FW193" s="1013"/>
      <c r="FX193" s="1013"/>
      <c r="FY193" s="1013"/>
      <c r="FZ193" s="1013"/>
      <c r="GA193" s="1013"/>
      <c r="GB193" s="1013"/>
      <c r="GC193" s="1013"/>
      <c r="GD193" s="1013"/>
      <c r="GE193" s="1013"/>
      <c r="GF193" s="1013"/>
      <c r="GG193" s="1013"/>
      <c r="GH193" s="1013"/>
      <c r="GI193" s="1013"/>
      <c r="GJ193" s="1013"/>
      <c r="GK193" s="1013"/>
      <c r="GL193" s="1013"/>
      <c r="GM193" s="1013"/>
      <c r="GN193" s="1013"/>
      <c r="GO193" s="1013"/>
      <c r="GP193" s="1013"/>
      <c r="GQ193" s="1013"/>
      <c r="GR193" s="1013"/>
      <c r="GS193" s="1013"/>
      <c r="GT193" s="1013"/>
      <c r="GU193" s="1013"/>
      <c r="GV193" s="1013"/>
      <c r="GW193" s="1013"/>
      <c r="GX193" s="1013"/>
      <c r="GY193" s="1013"/>
      <c r="GZ193" s="1013"/>
      <c r="HA193" s="1013"/>
    </row>
    <row r="194" spans="1:255" s="1003" customFormat="1" ht="26.25" customHeight="1">
      <c r="A194" s="950"/>
      <c r="B194" s="1001" t="s">
        <v>627</v>
      </c>
      <c r="C194" s="964"/>
      <c r="D194" s="998"/>
      <c r="E194" s="999">
        <f>SUM(E189:E193)</f>
        <v>6</v>
      </c>
      <c r="F194" s="998"/>
      <c r="G194" s="998"/>
      <c r="H194" s="998"/>
      <c r="I194" s="998"/>
      <c r="J194" s="998"/>
      <c r="K194" s="999">
        <f>SUM(K189:K193)</f>
        <v>1042707.24</v>
      </c>
      <c r="L194" s="999">
        <f>SUM(L189:L193)</f>
        <v>1</v>
      </c>
      <c r="M194" s="999">
        <f>SUM(M189:M193)</f>
        <v>0</v>
      </c>
      <c r="N194" s="999">
        <f>SUM(N189:N193)</f>
        <v>113720.49036585365</v>
      </c>
      <c r="O194" s="999">
        <f>SUM(O189:O193)</f>
        <v>5235.0639530487797</v>
      </c>
      <c r="P194" s="999"/>
      <c r="Q194" s="999"/>
      <c r="R194" s="999"/>
      <c r="S194" s="999">
        <f>SUM(S189:S193)</f>
        <v>4424.25</v>
      </c>
      <c r="T194" s="965"/>
      <c r="U194" s="965"/>
      <c r="V194" s="965"/>
      <c r="W194" s="965"/>
      <c r="X194" s="965"/>
      <c r="Y194" s="965"/>
      <c r="Z194" s="958"/>
      <c r="AA194" s="999">
        <f>SUM(AA189:AA193)</f>
        <v>1302401.8665</v>
      </c>
      <c r="AB194" s="961"/>
      <c r="AC194" s="961"/>
      <c r="AD194" s="999">
        <f>SUM(AD189:AD193)</f>
        <v>104270.724</v>
      </c>
      <c r="AE194" s="999">
        <f>SUM(AE189:AE193)</f>
        <v>2572759.6348189027</v>
      </c>
      <c r="AF194" s="999">
        <f>SUM(AF189:AF193)</f>
        <v>30873115.617826831</v>
      </c>
      <c r="AG194" s="999">
        <f>SUM(AG189:AG193)</f>
        <v>1042707.24</v>
      </c>
      <c r="AH194" s="999">
        <f>SUM(AH189:AH193)</f>
        <v>31915822.857826829</v>
      </c>
      <c r="AI194" s="1022"/>
      <c r="AJ194" s="1023"/>
      <c r="AK194" s="1021"/>
      <c r="AL194" s="1021"/>
      <c r="AM194" s="1013"/>
      <c r="AN194" s="1013"/>
      <c r="AO194" s="1013"/>
      <c r="AP194" s="1013"/>
      <c r="AQ194" s="1013"/>
      <c r="AR194" s="1013"/>
      <c r="AS194" s="1013"/>
      <c r="AT194" s="1013"/>
      <c r="AU194" s="1013"/>
      <c r="AV194" s="1013"/>
      <c r="AW194" s="1013"/>
      <c r="AX194" s="1013"/>
      <c r="AY194" s="1013"/>
      <c r="AZ194" s="1013"/>
      <c r="BA194" s="1013"/>
      <c r="BB194" s="1013"/>
      <c r="BC194" s="1013"/>
      <c r="BD194" s="1013"/>
      <c r="BE194" s="1013"/>
      <c r="BF194" s="1013"/>
      <c r="BG194" s="1013"/>
      <c r="BH194" s="1013"/>
      <c r="BI194" s="1013"/>
      <c r="BJ194" s="1013"/>
      <c r="BK194" s="1013"/>
      <c r="BL194" s="1013"/>
      <c r="BM194" s="1013"/>
      <c r="BN194" s="1013"/>
      <c r="BO194" s="1013"/>
      <c r="BP194" s="1013"/>
      <c r="BQ194" s="1013"/>
      <c r="BR194" s="1013"/>
      <c r="BS194" s="1013"/>
      <c r="BT194" s="1013"/>
      <c r="BU194" s="1013"/>
      <c r="BV194" s="1013"/>
      <c r="BW194" s="1013"/>
      <c r="BX194" s="1013"/>
      <c r="BY194" s="1013"/>
      <c r="BZ194" s="1013"/>
      <c r="CA194" s="1013"/>
      <c r="CB194" s="1013"/>
      <c r="CC194" s="1013"/>
      <c r="CD194" s="1013"/>
      <c r="CE194" s="1013"/>
      <c r="CF194" s="1013"/>
      <c r="CG194" s="1013"/>
      <c r="CH194" s="1013"/>
      <c r="CI194" s="1013"/>
      <c r="CJ194" s="1013"/>
      <c r="CK194" s="1013"/>
      <c r="CL194" s="1013"/>
      <c r="CM194" s="1013"/>
      <c r="CN194" s="1013"/>
      <c r="CO194" s="1013"/>
      <c r="CP194" s="1013"/>
      <c r="CQ194" s="1013"/>
      <c r="CR194" s="1013"/>
      <c r="CS194" s="1013"/>
      <c r="CT194" s="1013"/>
      <c r="CU194" s="1013"/>
      <c r="CV194" s="1013"/>
      <c r="CW194" s="1013"/>
      <c r="CX194" s="1013"/>
      <c r="CY194" s="1013"/>
      <c r="CZ194" s="1013"/>
      <c r="DA194" s="1013"/>
      <c r="DB194" s="1013"/>
      <c r="DC194" s="1013"/>
      <c r="DD194" s="1013"/>
      <c r="DE194" s="1013"/>
      <c r="DF194" s="1013"/>
      <c r="DG194" s="1013"/>
      <c r="DH194" s="1013"/>
      <c r="DI194" s="1013"/>
      <c r="DJ194" s="1013"/>
      <c r="DK194" s="1013"/>
      <c r="DL194" s="1013"/>
      <c r="DM194" s="1013"/>
      <c r="DN194" s="1013"/>
      <c r="DO194" s="1013"/>
      <c r="DP194" s="1013"/>
      <c r="DQ194" s="1013"/>
      <c r="DR194" s="1013"/>
      <c r="DS194" s="1013"/>
      <c r="DT194" s="1013"/>
      <c r="DU194" s="1013"/>
      <c r="DV194" s="1013"/>
      <c r="DW194" s="1013"/>
      <c r="DX194" s="1013"/>
      <c r="DY194" s="1013"/>
      <c r="DZ194" s="1013"/>
      <c r="EA194" s="1013"/>
      <c r="EB194" s="1013"/>
      <c r="EC194" s="1013"/>
      <c r="ED194" s="1013"/>
      <c r="EE194" s="1013"/>
      <c r="EF194" s="1013"/>
      <c r="EG194" s="1013"/>
      <c r="EH194" s="1013"/>
      <c r="EI194" s="1013"/>
      <c r="EJ194" s="1013"/>
      <c r="EK194" s="1013"/>
      <c r="EL194" s="1013"/>
      <c r="EM194" s="1013"/>
      <c r="EN194" s="1013"/>
      <c r="EO194" s="1013"/>
      <c r="EP194" s="1013"/>
      <c r="EQ194" s="1013"/>
      <c r="ER194" s="1013"/>
      <c r="ES194" s="1013"/>
      <c r="ET194" s="1013"/>
      <c r="EU194" s="1013"/>
      <c r="EV194" s="1013"/>
      <c r="EW194" s="1013"/>
      <c r="EX194" s="1013"/>
      <c r="EY194" s="1013"/>
      <c r="EZ194" s="1013"/>
      <c r="FA194" s="1013"/>
      <c r="FB194" s="1013"/>
      <c r="FC194" s="1013"/>
      <c r="FD194" s="1013"/>
      <c r="FE194" s="1013"/>
      <c r="FF194" s="1013"/>
      <c r="FG194" s="1013"/>
      <c r="FH194" s="1013"/>
      <c r="FI194" s="1013"/>
      <c r="FJ194" s="1013"/>
      <c r="FK194" s="1013"/>
      <c r="FL194" s="1013"/>
      <c r="FM194" s="1013"/>
      <c r="FN194" s="1013"/>
      <c r="FO194" s="1013"/>
      <c r="FP194" s="1013"/>
      <c r="FQ194" s="1013"/>
      <c r="FR194" s="1013"/>
      <c r="FS194" s="1013"/>
      <c r="FT194" s="1013"/>
      <c r="FU194" s="1013"/>
      <c r="FV194" s="1013"/>
      <c r="FW194" s="1013"/>
      <c r="FX194" s="1013"/>
      <c r="FY194" s="1013"/>
      <c r="FZ194" s="1013"/>
      <c r="GA194" s="1013"/>
      <c r="GB194" s="1013"/>
      <c r="GC194" s="1013"/>
      <c r="GD194" s="1013"/>
      <c r="GE194" s="1013"/>
      <c r="GF194" s="1013"/>
      <c r="GG194" s="1013"/>
      <c r="GH194" s="1013"/>
      <c r="GI194" s="1013"/>
      <c r="GJ194" s="1013"/>
      <c r="GK194" s="1013"/>
      <c r="GL194" s="1013"/>
      <c r="GM194" s="1013"/>
      <c r="GN194" s="1013"/>
      <c r="GO194" s="1013"/>
      <c r="GP194" s="1013"/>
      <c r="GQ194" s="1013"/>
      <c r="GR194" s="1013"/>
      <c r="GS194" s="1013"/>
      <c r="GT194" s="1013"/>
      <c r="GU194" s="1013"/>
      <c r="GV194" s="1013"/>
      <c r="GW194" s="1013"/>
      <c r="GX194" s="1013"/>
      <c r="GY194" s="1013"/>
      <c r="GZ194" s="1013"/>
      <c r="HA194" s="1013"/>
    </row>
    <row r="195" spans="1:255" ht="30.75" customHeight="1">
      <c r="A195" s="963"/>
      <c r="B195" s="964" t="s">
        <v>196</v>
      </c>
      <c r="C195" s="1043"/>
      <c r="D195" s="965"/>
      <c r="E195" s="1044">
        <f>E9+E40+E48+E20+E24+E29+E91+E99+E113+E121+E140+E149+E153+E161+E172+E182+E187+E194+E142+E35</f>
        <v>205.5</v>
      </c>
      <c r="F195" s="961"/>
      <c r="G195" s="961"/>
      <c r="H195" s="961"/>
      <c r="I195" s="961"/>
      <c r="J195" s="961" t="e">
        <f>#REF!+#REF!+J91+J99+J113+J121+J140+J149+J153+J161+J172+J182+J187+#REF!+J194</f>
        <v>#REF!</v>
      </c>
      <c r="K195" s="961">
        <f>K9+K20+K24+K29+K40+K48+K91+K99+K113+K121+K140+K149+K153+K161+K172+K182+K187+K194+K142+K35</f>
        <v>31999627.914999999</v>
      </c>
      <c r="L195" s="961" t="e">
        <f t="shared" ref="L195:Q195" si="203">L9+L20+L24+L29+L40+L48+L91+L99+L113+L121+L140+L149+L153+L161+L172+L182+L187+L194+L142+L35</f>
        <v>#REF!</v>
      </c>
      <c r="M195" s="961" t="e">
        <f t="shared" si="203"/>
        <v>#REF!</v>
      </c>
      <c r="N195" s="961">
        <f t="shared" si="203"/>
        <v>1187039.7635670733</v>
      </c>
      <c r="O195" s="961">
        <f t="shared" si="203"/>
        <v>73761.244374237809</v>
      </c>
      <c r="P195" s="961"/>
      <c r="Q195" s="961">
        <f t="shared" si="203"/>
        <v>18581.849999999999</v>
      </c>
      <c r="R195" s="961"/>
      <c r="S195" s="961">
        <f>S9+S20+S24+S29+S40+S48+S91+S99+S113+S121+S140+S149+S153+S161+S172+S182+S187+S194</f>
        <v>22121.25</v>
      </c>
      <c r="T195" s="961"/>
      <c r="U195" s="961">
        <f>U9+U20+U24+U29+U40+U48+U91+U99+U113+U121+U140+U149+U153+U161+U172+U182+U187+U194</f>
        <v>63709.2</v>
      </c>
      <c r="V195" s="961"/>
      <c r="W195" s="961">
        <f>W9+W20+W24+W29+W40+W48+W91+W99+W113+W121+W140+W149+W153+W161+W172+W182+W187+W194</f>
        <v>180509.40000000011</v>
      </c>
      <c r="X195" s="961"/>
      <c r="Y195" s="961"/>
      <c r="Z195" s="961"/>
      <c r="AA195" s="961">
        <f t="shared" ref="AA195:AD195" si="204">AA9+AA20+AA24+AA29+AA40+AA48+AA91+AA99+AA113+AA121+AA140+AA149+AA153+AA161+AA172+AA182+AA187+AA194+AA142+AA35</f>
        <v>46913262.22169999</v>
      </c>
      <c r="AB195" s="961"/>
      <c r="AC195" s="961">
        <f t="shared" si="204"/>
        <v>2857322.2260000003</v>
      </c>
      <c r="AD195" s="961">
        <f t="shared" si="204"/>
        <v>3199962.6914999997</v>
      </c>
      <c r="AE195" s="961">
        <f t="shared" ref="AE195" si="205">AE9+AE20+AE24+AE29+AE40+AE48+AE91+AE99+AE113+AE121+AE140+AE149+AE153+AE161+AE172+AE182+AE187+AE194+AE142+AE35</f>
        <v>86515896.762141317</v>
      </c>
      <c r="AF195" s="961">
        <f>AF9+AF20+AF24+AF29+AF40+AF48+AF91+AF99+AF113+AF121+AF140+AF149+AF153+AF161+AF172+AF182+AF187+AF194+AF142+AF35</f>
        <v>1038190761.1456958</v>
      </c>
      <c r="AG195" s="961">
        <f t="shared" ref="AG195" si="206">AG9+AG20+AG24+AG29+AG40+AG48+AG91+AG99+AG113+AG121+AG140+AG149+AG153+AG161+AG172+AG182+AG187+AG194+AG142+AG35</f>
        <v>31999626.914999999</v>
      </c>
      <c r="AH195" s="1289">
        <f>AH9+AH20+AH24+AH29+AH40+AH48+AH91+AH99+AH113+AH121+AH140+AH149+AH153+AH161+AH172+AH182+AH187+AH194+AH142+AH35</f>
        <v>1070190388.0606956</v>
      </c>
      <c r="AI195" s="1023"/>
      <c r="AJ195" s="1023"/>
      <c r="AK195" s="1045"/>
      <c r="AL195" s="1045"/>
    </row>
    <row r="196" spans="1:255" ht="30.75" hidden="1" customHeight="1">
      <c r="A196" s="1026"/>
      <c r="B196" s="1013"/>
      <c r="C196" s="1022"/>
      <c r="D196" s="1047"/>
      <c r="E196" s="1048">
        <v>170</v>
      </c>
      <c r="F196" s="1049"/>
      <c r="G196" s="1049"/>
      <c r="H196" s="1049"/>
      <c r="I196" s="1049"/>
      <c r="J196" s="1049"/>
      <c r="K196" s="1050"/>
      <c r="L196" s="1050"/>
      <c r="M196" s="1050"/>
      <c r="N196" s="1050"/>
      <c r="O196" s="1050"/>
      <c r="P196" s="1050"/>
      <c r="Q196" s="1050"/>
      <c r="R196" s="1050"/>
      <c r="S196" s="1050"/>
      <c r="T196" s="1050"/>
      <c r="U196" s="1050"/>
      <c r="V196" s="1050"/>
      <c r="W196" s="1050"/>
      <c r="X196" s="1050"/>
      <c r="Y196" s="1050"/>
      <c r="Z196" s="1050"/>
      <c r="AA196" s="1050"/>
      <c r="AB196" s="1050"/>
      <c r="AC196" s="1050"/>
      <c r="AD196" s="1050"/>
      <c r="AE196" s="1050"/>
      <c r="AF196" s="1050"/>
      <c r="AG196" s="1050"/>
      <c r="AH196" s="1050">
        <v>631158402</v>
      </c>
      <c r="AI196" s="1023"/>
      <c r="AJ196" s="1023"/>
      <c r="AK196" s="1045"/>
      <c r="AL196" s="1045"/>
    </row>
    <row r="197" spans="1:255" ht="30.75" hidden="1" customHeight="1">
      <c r="A197" s="1026"/>
      <c r="B197" s="1013"/>
      <c r="C197" s="1022"/>
      <c r="D197" s="1047"/>
      <c r="E197" s="1051"/>
      <c r="F197" s="1049"/>
      <c r="G197" s="1049"/>
      <c r="H197" s="1049"/>
      <c r="I197" s="1049"/>
      <c r="J197" s="1049"/>
      <c r="K197" s="1050"/>
      <c r="L197" s="1050"/>
      <c r="M197" s="1050"/>
      <c r="N197" s="1050"/>
      <c r="O197" s="1050"/>
      <c r="P197" s="1050"/>
      <c r="Q197" s="1050"/>
      <c r="R197" s="1050"/>
      <c r="S197" s="1050"/>
      <c r="T197" s="1050"/>
      <c r="U197" s="1050"/>
      <c r="V197" s="1050"/>
      <c r="W197" s="1050"/>
      <c r="X197" s="1050"/>
      <c r="Y197" s="1050"/>
      <c r="Z197" s="1050"/>
      <c r="AA197" s="1050"/>
      <c r="AB197" s="1050"/>
      <c r="AC197" s="1050"/>
      <c r="AD197" s="1050"/>
      <c r="AE197" s="1050"/>
      <c r="AF197" s="1050"/>
      <c r="AG197" s="1050"/>
      <c r="AH197" s="1050">
        <f>AH195-AH196</f>
        <v>439031986.06069565</v>
      </c>
      <c r="AI197" s="1023"/>
      <c r="AJ197" s="1023"/>
      <c r="AK197" s="1045"/>
      <c r="AL197" s="1045"/>
    </row>
    <row r="198" spans="1:255" ht="30.75" customHeight="1">
      <c r="A198" s="1026"/>
      <c r="B198" s="1052"/>
      <c r="C198" s="1053"/>
      <c r="D198" s="1054"/>
      <c r="E198" s="1567"/>
      <c r="F198" s="1567"/>
      <c r="G198" s="1049"/>
      <c r="H198" s="1049"/>
      <c r="I198" s="1049"/>
      <c r="J198" s="1049"/>
      <c r="K198" s="1050"/>
      <c r="L198" s="1050"/>
      <c r="M198" s="1050"/>
      <c r="N198" s="1050"/>
      <c r="O198" s="1050"/>
      <c r="P198" s="1050"/>
      <c r="Q198" s="1050"/>
      <c r="R198" s="1050"/>
      <c r="S198" s="1050"/>
      <c r="T198" s="1050"/>
      <c r="U198" s="1050"/>
      <c r="V198" s="1050"/>
      <c r="W198" s="1050"/>
      <c r="X198" s="1050"/>
      <c r="Y198" s="1050"/>
      <c r="Z198" s="1050"/>
      <c r="AA198" s="1050"/>
      <c r="AB198" s="1050"/>
      <c r="AC198" s="1050"/>
      <c r="AD198" s="1050"/>
      <c r="AE198" s="1050"/>
      <c r="AF198" s="1050"/>
      <c r="AG198" s="1050"/>
      <c r="AH198" s="1050"/>
      <c r="AI198" s="1023"/>
      <c r="AJ198" s="1023"/>
      <c r="AK198" s="1045"/>
      <c r="AL198" s="1045"/>
    </row>
    <row r="199" spans="1:255" ht="30.75" customHeight="1">
      <c r="A199" s="1026"/>
      <c r="B199" s="1236" t="s">
        <v>640</v>
      </c>
      <c r="E199" s="1055"/>
      <c r="Q199" s="1055"/>
      <c r="Y199" s="1103" t="s">
        <v>1167</v>
      </c>
      <c r="AE199" s="1050"/>
      <c r="AF199" s="1048"/>
      <c r="AG199" s="1048"/>
      <c r="AH199" s="1048"/>
      <c r="AI199" s="1023"/>
      <c r="AJ199" s="1023"/>
      <c r="AK199" s="1045"/>
      <c r="AL199" s="1045"/>
      <c r="AN199" s="1056"/>
    </row>
    <row r="200" spans="1:255" ht="30.75" customHeight="1">
      <c r="A200" s="1232"/>
      <c r="B200" s="1236"/>
      <c r="E200" s="1055"/>
      <c r="Q200" s="1055"/>
      <c r="Y200" s="1103"/>
      <c r="AE200" s="1050"/>
      <c r="AF200" s="1233"/>
      <c r="AG200" s="1233"/>
      <c r="AH200" s="1233"/>
      <c r="AI200" s="1023"/>
      <c r="AJ200" s="1023"/>
      <c r="AK200" s="1045"/>
      <c r="AL200" s="1045"/>
      <c r="AN200" s="1056"/>
    </row>
    <row r="201" spans="1:255" ht="30.75" customHeight="1">
      <c r="A201" s="1232"/>
      <c r="B201" s="1236"/>
      <c r="E201" s="1055"/>
      <c r="Q201" s="1055"/>
      <c r="Y201" s="1103"/>
      <c r="AE201" s="1050"/>
      <c r="AF201" s="1233"/>
      <c r="AG201" s="1233"/>
      <c r="AH201" s="1233"/>
      <c r="AI201" s="1023"/>
      <c r="AJ201" s="1023"/>
      <c r="AK201" s="1045"/>
      <c r="AL201" s="1045"/>
      <c r="AN201" s="1056"/>
    </row>
    <row r="202" spans="1:255" ht="30.75" customHeight="1">
      <c r="A202" s="1057"/>
      <c r="B202" s="1058" t="s">
        <v>1227</v>
      </c>
      <c r="C202" s="1058"/>
      <c r="D202" s="1058"/>
      <c r="E202" s="1059"/>
      <c r="F202" s="1058"/>
      <c r="G202" s="1058"/>
      <c r="H202" s="1058"/>
      <c r="I202" s="1058"/>
      <c r="J202" s="1058"/>
      <c r="K202" s="1058"/>
      <c r="L202" s="1058"/>
      <c r="M202" s="1058"/>
      <c r="N202" s="1058"/>
      <c r="O202" s="1058"/>
      <c r="P202" s="1058"/>
      <c r="Q202" s="1058"/>
      <c r="R202" s="1058"/>
      <c r="S202" s="1058"/>
      <c r="T202" s="1058"/>
      <c r="U202" s="1058"/>
      <c r="V202" s="1568" t="s">
        <v>709</v>
      </c>
      <c r="W202" s="1568"/>
      <c r="X202" s="1568"/>
      <c r="Y202" s="1568"/>
      <c r="Z202" s="1568"/>
      <c r="AA202" s="1568"/>
      <c r="AB202" s="1058"/>
      <c r="AC202" s="1058"/>
      <c r="AD202" s="1058"/>
      <c r="AE202" s="1060"/>
      <c r="AF202" s="1060"/>
      <c r="AG202" s="1060"/>
      <c r="AH202" s="1060"/>
      <c r="AI202" s="1061"/>
      <c r="AK202" s="1046"/>
    </row>
    <row r="203" spans="1:255" ht="30.75" customHeight="1">
      <c r="E203" s="1063"/>
      <c r="AE203" s="1060"/>
      <c r="AF203" s="1060"/>
      <c r="AG203" s="1060"/>
      <c r="AH203" s="1060"/>
      <c r="AI203" s="1061"/>
      <c r="AJ203" s="1061"/>
      <c r="AN203" s="1065"/>
    </row>
    <row r="204" spans="1:255" ht="30.75" customHeight="1">
      <c r="AE204" s="1060"/>
      <c r="AF204" s="1060"/>
      <c r="AG204" s="1060"/>
      <c r="AH204" s="1060"/>
      <c r="AI204" s="1061"/>
      <c r="AJ204" s="1061"/>
    </row>
    <row r="205" spans="1:255" ht="30.75" customHeight="1">
      <c r="B205" s="1025"/>
      <c r="D205" s="1067"/>
      <c r="E205" s="1068"/>
      <c r="AG205" s="1050"/>
      <c r="AH205" s="1050"/>
    </row>
    <row r="206" spans="1:255" ht="30.75" customHeight="1">
      <c r="B206" s="1069"/>
      <c r="E206" s="1070"/>
      <c r="AG206" s="1050"/>
      <c r="AH206" s="1050"/>
    </row>
    <row r="207" spans="1:255" s="1062" customFormat="1" ht="30.75" customHeight="1">
      <c r="A207" s="1055"/>
      <c r="B207" s="1013"/>
      <c r="C207" s="1046"/>
      <c r="D207" s="1071"/>
      <c r="E207" s="1070"/>
      <c r="F207" s="1055"/>
      <c r="G207" s="1055"/>
      <c r="H207" s="1055"/>
      <c r="I207" s="1055"/>
      <c r="J207" s="1055"/>
      <c r="K207" s="1055"/>
      <c r="L207" s="1055"/>
      <c r="M207" s="1055"/>
      <c r="N207" s="1055"/>
      <c r="O207" s="1055"/>
      <c r="P207" s="1055"/>
      <c r="Q207" s="1064"/>
      <c r="R207" s="1055"/>
      <c r="S207" s="1055"/>
      <c r="T207" s="1055"/>
      <c r="U207" s="1055"/>
      <c r="V207" s="1055"/>
      <c r="W207" s="1055"/>
      <c r="X207" s="1055"/>
      <c r="Y207" s="1055"/>
      <c r="Z207" s="1055"/>
      <c r="AA207" s="1055"/>
      <c r="AB207" s="1055"/>
      <c r="AC207" s="1055"/>
      <c r="AD207" s="1055"/>
      <c r="AE207" s="1055"/>
      <c r="AF207" s="1055"/>
      <c r="AG207" s="1050"/>
      <c r="AH207" s="1050"/>
      <c r="AI207" s="1065"/>
      <c r="AJ207" s="1065"/>
      <c r="AM207" s="1046"/>
      <c r="AN207" s="1046"/>
      <c r="AO207" s="1046"/>
      <c r="AP207" s="1046"/>
      <c r="AQ207" s="1046"/>
      <c r="AR207" s="1046"/>
      <c r="AS207" s="1046"/>
      <c r="AT207" s="1046"/>
      <c r="AU207" s="1046"/>
      <c r="AV207" s="1046"/>
      <c r="AW207" s="1046"/>
      <c r="AX207" s="1046"/>
      <c r="AY207" s="1046"/>
      <c r="AZ207" s="1046"/>
      <c r="BA207" s="1046"/>
      <c r="BB207" s="1046"/>
      <c r="BC207" s="1046"/>
      <c r="BD207" s="1046"/>
      <c r="BE207" s="1046"/>
      <c r="BF207" s="1046"/>
      <c r="BG207" s="1046"/>
      <c r="BH207" s="1046"/>
      <c r="BI207" s="1046"/>
      <c r="BJ207" s="1046"/>
      <c r="BK207" s="1046"/>
      <c r="BL207" s="1046"/>
      <c r="BM207" s="1046"/>
      <c r="BN207" s="1046"/>
      <c r="BO207" s="1046"/>
      <c r="BP207" s="1046"/>
      <c r="BQ207" s="1046"/>
      <c r="BR207" s="1046"/>
      <c r="BS207" s="1046"/>
      <c r="BT207" s="1046"/>
      <c r="BU207" s="1046"/>
      <c r="BV207" s="1046"/>
      <c r="BW207" s="1046"/>
      <c r="BX207" s="1046"/>
      <c r="BY207" s="1046"/>
      <c r="BZ207" s="1046"/>
      <c r="CA207" s="1046"/>
      <c r="CB207" s="1046"/>
      <c r="CC207" s="1046"/>
      <c r="CD207" s="1046"/>
      <c r="CE207" s="1046"/>
      <c r="CF207" s="1046"/>
      <c r="CG207" s="1046"/>
      <c r="CH207" s="1046"/>
      <c r="CI207" s="1046"/>
      <c r="CJ207" s="1046"/>
      <c r="CK207" s="1046"/>
      <c r="CL207" s="1046"/>
      <c r="CM207" s="1046"/>
      <c r="CN207" s="1046"/>
      <c r="CO207" s="1046"/>
      <c r="CP207" s="1046"/>
      <c r="CQ207" s="1046"/>
      <c r="CR207" s="1046"/>
      <c r="CS207" s="1046"/>
      <c r="CT207" s="1046"/>
      <c r="CU207" s="1046"/>
      <c r="CV207" s="1046"/>
      <c r="CW207" s="1046"/>
      <c r="CX207" s="1046"/>
      <c r="CY207" s="1046"/>
      <c r="CZ207" s="1046"/>
      <c r="DA207" s="1046"/>
      <c r="DB207" s="1046"/>
      <c r="DC207" s="1046"/>
      <c r="DD207" s="1046"/>
      <c r="DE207" s="1046"/>
      <c r="DF207" s="1046"/>
      <c r="DG207" s="1046"/>
      <c r="DH207" s="1046"/>
      <c r="DI207" s="1046"/>
      <c r="DJ207" s="1046"/>
      <c r="DK207" s="1046"/>
      <c r="DL207" s="1046"/>
      <c r="DM207" s="1046"/>
      <c r="DN207" s="1046"/>
      <c r="DO207" s="1046"/>
      <c r="DP207" s="1046"/>
      <c r="DQ207" s="1046"/>
      <c r="DR207" s="1046"/>
      <c r="DS207" s="1046"/>
      <c r="DT207" s="1046"/>
      <c r="DU207" s="1046"/>
      <c r="DV207" s="1046"/>
      <c r="DW207" s="1046"/>
      <c r="DX207" s="1046"/>
      <c r="DY207" s="1046"/>
      <c r="DZ207" s="1046"/>
      <c r="EA207" s="1046"/>
      <c r="EB207" s="1046"/>
      <c r="EC207" s="1046"/>
      <c r="ED207" s="1046"/>
      <c r="EE207" s="1046"/>
      <c r="EF207" s="1046"/>
      <c r="EG207" s="1046"/>
      <c r="EH207" s="1046"/>
      <c r="EI207" s="1046"/>
      <c r="EJ207" s="1046"/>
      <c r="EK207" s="1046"/>
      <c r="EL207" s="1046"/>
      <c r="EM207" s="1046"/>
      <c r="EN207" s="1046"/>
      <c r="EO207" s="1046"/>
      <c r="EP207" s="1046"/>
      <c r="EQ207" s="1046"/>
      <c r="ER207" s="1046"/>
      <c r="ES207" s="1046"/>
      <c r="ET207" s="1046"/>
      <c r="EU207" s="1046"/>
      <c r="EV207" s="1046"/>
      <c r="EW207" s="1046"/>
      <c r="EX207" s="1046"/>
      <c r="EY207" s="1046"/>
      <c r="EZ207" s="1046"/>
      <c r="FA207" s="1046"/>
      <c r="FB207" s="1046"/>
      <c r="FC207" s="1046"/>
      <c r="FD207" s="1046"/>
      <c r="FE207" s="1046"/>
      <c r="FF207" s="1046"/>
      <c r="FG207" s="1046"/>
      <c r="FH207" s="1046"/>
      <c r="FI207" s="1046"/>
      <c r="FJ207" s="1046"/>
      <c r="FK207" s="1046"/>
      <c r="FL207" s="1046"/>
      <c r="FM207" s="1046"/>
      <c r="FN207" s="1046"/>
      <c r="FO207" s="1046"/>
      <c r="FP207" s="1046"/>
      <c r="FQ207" s="1046"/>
      <c r="FR207" s="1046"/>
      <c r="FS207" s="1046"/>
      <c r="FT207" s="1046"/>
      <c r="FU207" s="1046"/>
      <c r="FV207" s="1046"/>
      <c r="FW207" s="1046"/>
      <c r="FX207" s="1046"/>
      <c r="FY207" s="1046"/>
      <c r="FZ207" s="1046"/>
      <c r="GA207" s="1046"/>
      <c r="GB207" s="1046"/>
      <c r="GC207" s="1046"/>
      <c r="GD207" s="1046"/>
      <c r="GE207" s="1046"/>
      <c r="GF207" s="1046"/>
      <c r="GG207" s="1046"/>
      <c r="GH207" s="1046"/>
      <c r="GI207" s="1046"/>
      <c r="GJ207" s="1046"/>
      <c r="GK207" s="1046"/>
      <c r="GL207" s="1046"/>
      <c r="GM207" s="1046"/>
      <c r="GN207" s="1046"/>
      <c r="GO207" s="1046"/>
      <c r="GP207" s="1046"/>
      <c r="GQ207" s="1046"/>
      <c r="GR207" s="1046"/>
      <c r="GS207" s="1046"/>
      <c r="GT207" s="1046"/>
      <c r="GU207" s="1046"/>
      <c r="GV207" s="1046"/>
      <c r="GW207" s="1046"/>
      <c r="GX207" s="1046"/>
      <c r="GY207" s="1046"/>
      <c r="GZ207" s="1046"/>
      <c r="HA207" s="1046"/>
      <c r="HB207" s="1046"/>
      <c r="HC207" s="1046"/>
      <c r="HD207" s="1046"/>
      <c r="HE207" s="1046"/>
      <c r="HF207" s="1046"/>
      <c r="HG207" s="1046"/>
      <c r="HH207" s="1046"/>
      <c r="HI207" s="1046"/>
      <c r="HJ207" s="1046"/>
      <c r="HK207" s="1046"/>
      <c r="HL207" s="1046"/>
      <c r="HM207" s="1046"/>
      <c r="HN207" s="1046"/>
      <c r="HO207" s="1046"/>
      <c r="HP207" s="1046"/>
      <c r="HQ207" s="1046"/>
      <c r="HR207" s="1046"/>
      <c r="HS207" s="1046"/>
      <c r="HT207" s="1046"/>
      <c r="HU207" s="1046"/>
      <c r="HV207" s="1046"/>
      <c r="HW207" s="1046"/>
      <c r="HX207" s="1046"/>
      <c r="HY207" s="1046"/>
      <c r="HZ207" s="1046"/>
      <c r="IA207" s="1046"/>
      <c r="IB207" s="1046"/>
      <c r="IC207" s="1046"/>
      <c r="ID207" s="1046"/>
      <c r="IE207" s="1046"/>
      <c r="IF207" s="1046"/>
      <c r="IG207" s="1046"/>
      <c r="IH207" s="1046"/>
      <c r="II207" s="1046"/>
      <c r="IJ207" s="1046"/>
      <c r="IK207" s="1046"/>
      <c r="IL207" s="1046"/>
      <c r="IM207" s="1046"/>
      <c r="IN207" s="1046"/>
      <c r="IO207" s="1046"/>
      <c r="IP207" s="1046"/>
      <c r="IQ207" s="1046"/>
      <c r="IR207" s="1046"/>
      <c r="IS207" s="1046"/>
      <c r="IT207" s="1046"/>
      <c r="IU207" s="1046"/>
    </row>
    <row r="208" spans="1:255" ht="30.75" customHeight="1">
      <c r="B208" s="1013"/>
      <c r="D208" s="1071"/>
      <c r="E208" s="1070"/>
      <c r="AG208" s="1050"/>
      <c r="AH208" s="1050"/>
    </row>
    <row r="209" spans="1:255" ht="30.75" customHeight="1">
      <c r="B209" s="1003"/>
      <c r="D209" s="1067"/>
    </row>
    <row r="210" spans="1:255" s="1062" customFormat="1" ht="30.75" customHeight="1">
      <c r="A210" s="1055"/>
      <c r="B210" s="1025"/>
      <c r="C210" s="1046"/>
      <c r="D210" s="1067"/>
      <c r="E210" s="1066"/>
      <c r="F210" s="1055"/>
      <c r="G210" s="1055"/>
      <c r="H210" s="1055"/>
      <c r="I210" s="1055"/>
      <c r="J210" s="1055"/>
      <c r="K210" s="1055"/>
      <c r="L210" s="1055"/>
      <c r="M210" s="1055"/>
      <c r="N210" s="1055"/>
      <c r="O210" s="1055"/>
      <c r="P210" s="1055"/>
      <c r="Q210" s="1064"/>
      <c r="R210" s="1055"/>
      <c r="S210" s="1055"/>
      <c r="T210" s="1055"/>
      <c r="U210" s="1055"/>
      <c r="V210" s="1055"/>
      <c r="W210" s="1055"/>
      <c r="X210" s="1055"/>
      <c r="Y210" s="1055"/>
      <c r="Z210" s="1055"/>
      <c r="AA210" s="1066"/>
      <c r="AB210" s="1066"/>
      <c r="AC210" s="1055"/>
      <c r="AD210" s="1055"/>
      <c r="AE210" s="1055"/>
      <c r="AF210" s="1055"/>
      <c r="AG210" s="1055"/>
      <c r="AH210" s="1055"/>
      <c r="AI210" s="1046"/>
      <c r="AJ210" s="1046"/>
      <c r="AM210" s="1046"/>
      <c r="AN210" s="1046"/>
      <c r="AO210" s="1046"/>
      <c r="AP210" s="1046"/>
      <c r="AQ210" s="1046"/>
      <c r="AR210" s="1046"/>
      <c r="AS210" s="1046"/>
      <c r="AT210" s="1046"/>
      <c r="AU210" s="1046"/>
      <c r="AV210" s="1046"/>
      <c r="AW210" s="1046"/>
      <c r="AX210" s="1046"/>
      <c r="AY210" s="1046"/>
      <c r="AZ210" s="1046"/>
      <c r="BA210" s="1046"/>
      <c r="BB210" s="1046"/>
      <c r="BC210" s="1046"/>
      <c r="BD210" s="1046"/>
      <c r="BE210" s="1046"/>
      <c r="BF210" s="1046"/>
      <c r="BG210" s="1046"/>
      <c r="BH210" s="1046"/>
      <c r="BI210" s="1046"/>
      <c r="BJ210" s="1046"/>
      <c r="BK210" s="1046"/>
      <c r="BL210" s="1046"/>
      <c r="BM210" s="1046"/>
      <c r="BN210" s="1046"/>
      <c r="BO210" s="1046"/>
      <c r="BP210" s="1046"/>
      <c r="BQ210" s="1046"/>
      <c r="BR210" s="1046"/>
      <c r="BS210" s="1046"/>
      <c r="BT210" s="1046"/>
      <c r="BU210" s="1046"/>
      <c r="BV210" s="1046"/>
      <c r="BW210" s="1046"/>
      <c r="BX210" s="1046"/>
      <c r="BY210" s="1046"/>
      <c r="BZ210" s="1046"/>
      <c r="CA210" s="1046"/>
      <c r="CB210" s="1046"/>
      <c r="CC210" s="1046"/>
      <c r="CD210" s="1046"/>
      <c r="CE210" s="1046"/>
      <c r="CF210" s="1046"/>
      <c r="CG210" s="1046"/>
      <c r="CH210" s="1046"/>
      <c r="CI210" s="1046"/>
      <c r="CJ210" s="1046"/>
      <c r="CK210" s="1046"/>
      <c r="CL210" s="1046"/>
      <c r="CM210" s="1046"/>
      <c r="CN210" s="1046"/>
      <c r="CO210" s="1046"/>
      <c r="CP210" s="1046"/>
      <c r="CQ210" s="1046"/>
      <c r="CR210" s="1046"/>
      <c r="CS210" s="1046"/>
      <c r="CT210" s="1046"/>
      <c r="CU210" s="1046"/>
      <c r="CV210" s="1046"/>
      <c r="CW210" s="1046"/>
      <c r="CX210" s="1046"/>
      <c r="CY210" s="1046"/>
      <c r="CZ210" s="1046"/>
      <c r="DA210" s="1046"/>
      <c r="DB210" s="1046"/>
      <c r="DC210" s="1046"/>
      <c r="DD210" s="1046"/>
      <c r="DE210" s="1046"/>
      <c r="DF210" s="1046"/>
      <c r="DG210" s="1046"/>
      <c r="DH210" s="1046"/>
      <c r="DI210" s="1046"/>
      <c r="DJ210" s="1046"/>
      <c r="DK210" s="1046"/>
      <c r="DL210" s="1046"/>
      <c r="DM210" s="1046"/>
      <c r="DN210" s="1046"/>
      <c r="DO210" s="1046"/>
      <c r="DP210" s="1046"/>
      <c r="DQ210" s="1046"/>
      <c r="DR210" s="1046"/>
      <c r="DS210" s="1046"/>
      <c r="DT210" s="1046"/>
      <c r="DU210" s="1046"/>
      <c r="DV210" s="1046"/>
      <c r="DW210" s="1046"/>
      <c r="DX210" s="1046"/>
      <c r="DY210" s="1046"/>
      <c r="DZ210" s="1046"/>
      <c r="EA210" s="1046"/>
      <c r="EB210" s="1046"/>
      <c r="EC210" s="1046"/>
      <c r="ED210" s="1046"/>
      <c r="EE210" s="1046"/>
      <c r="EF210" s="1046"/>
      <c r="EG210" s="1046"/>
      <c r="EH210" s="1046"/>
      <c r="EI210" s="1046"/>
      <c r="EJ210" s="1046"/>
      <c r="EK210" s="1046"/>
      <c r="EL210" s="1046"/>
      <c r="EM210" s="1046"/>
      <c r="EN210" s="1046"/>
      <c r="EO210" s="1046"/>
      <c r="EP210" s="1046"/>
      <c r="EQ210" s="1046"/>
      <c r="ER210" s="1046"/>
      <c r="ES210" s="1046"/>
      <c r="ET210" s="1046"/>
      <c r="EU210" s="1046"/>
      <c r="EV210" s="1046"/>
      <c r="EW210" s="1046"/>
      <c r="EX210" s="1046"/>
      <c r="EY210" s="1046"/>
      <c r="EZ210" s="1046"/>
      <c r="FA210" s="1046"/>
      <c r="FB210" s="1046"/>
      <c r="FC210" s="1046"/>
      <c r="FD210" s="1046"/>
      <c r="FE210" s="1046"/>
      <c r="FF210" s="1046"/>
      <c r="FG210" s="1046"/>
      <c r="FH210" s="1046"/>
      <c r="FI210" s="1046"/>
      <c r="FJ210" s="1046"/>
      <c r="FK210" s="1046"/>
      <c r="FL210" s="1046"/>
      <c r="FM210" s="1046"/>
      <c r="FN210" s="1046"/>
      <c r="FO210" s="1046"/>
      <c r="FP210" s="1046"/>
      <c r="FQ210" s="1046"/>
      <c r="FR210" s="1046"/>
      <c r="FS210" s="1046"/>
      <c r="FT210" s="1046"/>
      <c r="FU210" s="1046"/>
      <c r="FV210" s="1046"/>
      <c r="FW210" s="1046"/>
      <c r="FX210" s="1046"/>
      <c r="FY210" s="1046"/>
      <c r="FZ210" s="1046"/>
      <c r="GA210" s="1046"/>
      <c r="GB210" s="1046"/>
      <c r="GC210" s="1046"/>
      <c r="GD210" s="1046"/>
      <c r="GE210" s="1046"/>
      <c r="GF210" s="1046"/>
      <c r="GG210" s="1046"/>
      <c r="GH210" s="1046"/>
      <c r="GI210" s="1046"/>
      <c r="GJ210" s="1046"/>
      <c r="GK210" s="1046"/>
      <c r="GL210" s="1046"/>
      <c r="GM210" s="1046"/>
      <c r="GN210" s="1046"/>
      <c r="GO210" s="1046"/>
      <c r="GP210" s="1046"/>
      <c r="GQ210" s="1046"/>
      <c r="GR210" s="1046"/>
      <c r="GS210" s="1046"/>
      <c r="GT210" s="1046"/>
      <c r="GU210" s="1046"/>
      <c r="GV210" s="1046"/>
      <c r="GW210" s="1046"/>
      <c r="GX210" s="1046"/>
      <c r="GY210" s="1046"/>
      <c r="GZ210" s="1046"/>
      <c r="HA210" s="1046"/>
      <c r="HB210" s="1046"/>
      <c r="HC210" s="1046"/>
      <c r="HD210" s="1046"/>
      <c r="HE210" s="1046"/>
      <c r="HF210" s="1046"/>
      <c r="HG210" s="1046"/>
      <c r="HH210" s="1046"/>
      <c r="HI210" s="1046"/>
      <c r="HJ210" s="1046"/>
      <c r="HK210" s="1046"/>
      <c r="HL210" s="1046"/>
      <c r="HM210" s="1046"/>
      <c r="HN210" s="1046"/>
      <c r="HO210" s="1046"/>
      <c r="HP210" s="1046"/>
      <c r="HQ210" s="1046"/>
      <c r="HR210" s="1046"/>
      <c r="HS210" s="1046"/>
      <c r="HT210" s="1046"/>
      <c r="HU210" s="1046"/>
      <c r="HV210" s="1046"/>
      <c r="HW210" s="1046"/>
      <c r="HX210" s="1046"/>
      <c r="HY210" s="1046"/>
      <c r="HZ210" s="1046"/>
      <c r="IA210" s="1046"/>
      <c r="IB210" s="1046"/>
      <c r="IC210" s="1046"/>
      <c r="ID210" s="1046"/>
      <c r="IE210" s="1046"/>
      <c r="IF210" s="1046"/>
      <c r="IG210" s="1046"/>
      <c r="IH210" s="1046"/>
      <c r="II210" s="1046"/>
      <c r="IJ210" s="1046"/>
      <c r="IK210" s="1046"/>
      <c r="IL210" s="1046"/>
      <c r="IM210" s="1046"/>
      <c r="IN210" s="1046"/>
      <c r="IO210" s="1046"/>
      <c r="IP210" s="1046"/>
      <c r="IQ210" s="1046"/>
      <c r="IR210" s="1046"/>
      <c r="IS210" s="1046"/>
      <c r="IT210" s="1046"/>
      <c r="IU210" s="1046"/>
    </row>
    <row r="211" spans="1:255" ht="30.75" customHeight="1">
      <c r="B211" s="1025"/>
      <c r="D211" s="1067"/>
    </row>
    <row r="212" spans="1:255" ht="30.75" customHeight="1">
      <c r="B212" s="1003"/>
      <c r="D212" s="1067"/>
    </row>
    <row r="213" spans="1:255" ht="30.75" customHeight="1">
      <c r="B213" s="1003"/>
      <c r="D213" s="1067"/>
    </row>
    <row r="214" spans="1:255" ht="30.75" customHeight="1">
      <c r="B214" s="1013"/>
      <c r="D214" s="1071"/>
      <c r="E214" s="1055"/>
      <c r="AK214" s="1046"/>
      <c r="AL214" s="1046"/>
    </row>
  </sheetData>
  <mergeCells count="3">
    <mergeCell ref="A1:AH1"/>
    <mergeCell ref="E198:F198"/>
    <mergeCell ref="V202:AA202"/>
  </mergeCells>
  <pageMargins left="0.19685039370078741" right="0.19685039370078741" top="0.39370078740157483" bottom="0.39370078740157483" header="0.31496062992125984" footer="0.31496062992125984"/>
  <pageSetup paperSize="9" scale="3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BV69"/>
  <sheetViews>
    <sheetView view="pageBreakPreview" zoomScale="70" zoomScaleNormal="100" zoomScaleSheetLayoutView="70" workbookViewId="0">
      <selection activeCell="K19" sqref="K19"/>
    </sheetView>
  </sheetViews>
  <sheetFormatPr defaultColWidth="9.140625" defaultRowHeight="15"/>
  <cols>
    <col min="1" max="1" width="14.140625" style="643" customWidth="1"/>
    <col min="2" max="7" width="9.140625" style="633"/>
    <col min="8" max="9" width="9.28515625" style="633" bestFit="1" customWidth="1"/>
    <col min="10" max="10" width="9.140625" style="633"/>
    <col min="11" max="11" width="10.140625" style="633" bestFit="1" customWidth="1"/>
    <col min="12" max="20" width="9.140625" style="633"/>
    <col min="21" max="21" width="14.5703125" style="644" customWidth="1"/>
    <col min="22" max="22" width="16" style="645" customWidth="1"/>
    <col min="23" max="27" width="9.140625" style="633" hidden="1" customWidth="1"/>
    <col min="28" max="28" width="9.140625" style="634" customWidth="1"/>
    <col min="29" max="29" width="17.5703125" style="635" customWidth="1"/>
    <col min="30" max="31" width="9.140625" style="634" hidden="1" customWidth="1"/>
    <col min="32" max="32" width="9.140625" style="634" customWidth="1"/>
    <col min="33" max="33" width="14.85546875" style="635" customWidth="1"/>
    <col min="34" max="34" width="9.140625" style="634" customWidth="1"/>
    <col min="35" max="35" width="14.7109375" style="635" customWidth="1"/>
    <col min="36" max="36" width="9.140625" style="634" customWidth="1"/>
    <col min="37" max="37" width="10.7109375" style="635" customWidth="1"/>
    <col min="38" max="47" width="9.140625" style="634" hidden="1" customWidth="1"/>
    <col min="48" max="54" width="6.140625" style="634" hidden="1" customWidth="1"/>
    <col min="55" max="55" width="9.140625" style="634" customWidth="1"/>
    <col min="56" max="56" width="9.140625" style="635" customWidth="1"/>
    <col min="57" max="60" width="9.140625" style="634" hidden="1" customWidth="1"/>
    <col min="61" max="61" width="18.140625" style="635" customWidth="1"/>
    <col min="62" max="62" width="9.140625" style="634" customWidth="1"/>
    <col min="63" max="63" width="14" style="635" customWidth="1"/>
    <col min="64" max="65" width="9.140625" style="634" customWidth="1"/>
    <col min="66" max="68" width="9.140625" style="634"/>
    <col min="69" max="69" width="12.7109375" style="635" customWidth="1"/>
    <col min="70" max="71" width="9.140625" style="634"/>
    <col min="72" max="72" width="13.42578125" style="635" customWidth="1"/>
    <col min="73" max="73" width="12.5703125" style="635" customWidth="1"/>
    <col min="74" max="74" width="14.28515625" style="635" customWidth="1"/>
    <col min="75" max="16384" width="9.140625" style="633"/>
  </cols>
  <sheetData>
    <row r="1" spans="1:74" s="578" customFormat="1" ht="79.5" customHeight="1">
      <c r="A1" s="576"/>
      <c r="B1" s="577"/>
      <c r="R1" s="579"/>
      <c r="S1" s="1570" t="s">
        <v>537</v>
      </c>
      <c r="T1" s="1570"/>
      <c r="U1" s="1570"/>
      <c r="V1" s="579"/>
      <c r="AB1" s="580"/>
      <c r="AC1" s="581"/>
      <c r="AD1" s="580"/>
      <c r="AE1" s="580"/>
      <c r="AF1" s="580"/>
      <c r="AG1" s="581"/>
      <c r="AH1" s="580"/>
      <c r="AI1" s="581"/>
      <c r="AJ1" s="580"/>
      <c r="AK1" s="581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580"/>
      <c r="AZ1" s="580"/>
      <c r="BA1" s="580"/>
      <c r="BB1" s="580"/>
      <c r="BC1" s="580"/>
      <c r="BD1" s="581"/>
      <c r="BE1" s="580"/>
      <c r="BF1" s="580"/>
      <c r="BG1" s="580"/>
      <c r="BH1" s="580"/>
      <c r="BI1" s="581"/>
      <c r="BJ1" s="580"/>
      <c r="BK1" s="581"/>
      <c r="BL1" s="580"/>
      <c r="BM1" s="580"/>
      <c r="BN1" s="580"/>
      <c r="BO1" s="580"/>
      <c r="BP1" s="580"/>
      <c r="BQ1" s="581"/>
      <c r="BR1" s="580"/>
      <c r="BS1" s="580"/>
      <c r="BT1" s="581"/>
      <c r="BU1" s="581"/>
      <c r="BV1" s="581"/>
    </row>
    <row r="2" spans="1:74" s="582" customFormat="1" ht="15.75">
      <c r="A2" s="1571" t="s">
        <v>538</v>
      </c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U2" s="583"/>
      <c r="V2" s="584"/>
      <c r="AB2" s="585"/>
      <c r="AC2" s="586"/>
      <c r="AD2" s="585"/>
      <c r="AE2" s="585"/>
      <c r="AF2" s="585"/>
      <c r="AG2" s="586"/>
      <c r="AH2" s="585"/>
      <c r="AI2" s="586"/>
      <c r="AJ2" s="585"/>
      <c r="AK2" s="586"/>
      <c r="AL2" s="585"/>
      <c r="AM2" s="585"/>
      <c r="AN2" s="585"/>
      <c r="AO2" s="585"/>
      <c r="AP2" s="585"/>
      <c r="AQ2" s="585"/>
      <c r="AR2" s="585"/>
      <c r="AS2" s="585"/>
      <c r="AT2" s="585"/>
      <c r="AU2" s="585"/>
      <c r="AV2" s="585"/>
      <c r="AW2" s="585"/>
      <c r="AX2" s="585"/>
      <c r="AY2" s="585"/>
      <c r="AZ2" s="585"/>
      <c r="BA2" s="585"/>
      <c r="BB2" s="585"/>
      <c r="BC2" s="585"/>
      <c r="BD2" s="586"/>
      <c r="BE2" s="585"/>
      <c r="BF2" s="585"/>
      <c r="BG2" s="585"/>
      <c r="BH2" s="585"/>
      <c r="BI2" s="586"/>
      <c r="BJ2" s="585"/>
      <c r="BK2" s="586"/>
      <c r="BL2" s="585"/>
      <c r="BM2" s="585"/>
      <c r="BN2" s="585"/>
      <c r="BO2" s="585"/>
      <c r="BP2" s="585"/>
      <c r="BQ2" s="586"/>
      <c r="BR2" s="585"/>
      <c r="BS2" s="585"/>
      <c r="BT2" s="586"/>
      <c r="BU2" s="586"/>
      <c r="BV2" s="586"/>
    </row>
    <row r="3" spans="1:74" s="582" customFormat="1" ht="15.75">
      <c r="A3" s="587"/>
      <c r="V3" s="588" t="s">
        <v>507</v>
      </c>
      <c r="AB3" s="585"/>
      <c r="AC3" s="586"/>
      <c r="AD3" s="585"/>
      <c r="AE3" s="585"/>
      <c r="AF3" s="585"/>
      <c r="AG3" s="589"/>
      <c r="AH3" s="585"/>
      <c r="AI3" s="586"/>
      <c r="AJ3" s="585"/>
      <c r="AK3" s="586"/>
      <c r="AL3" s="585"/>
      <c r="AM3" s="585"/>
      <c r="AN3" s="585"/>
      <c r="AO3" s="585"/>
      <c r="AP3" s="585"/>
      <c r="AQ3" s="585"/>
      <c r="AR3" s="585"/>
      <c r="AS3" s="585"/>
      <c r="AT3" s="585"/>
      <c r="AU3" s="585"/>
      <c r="AV3" s="585"/>
      <c r="AW3" s="585"/>
      <c r="AX3" s="585"/>
      <c r="AY3" s="585"/>
      <c r="AZ3" s="585"/>
      <c r="BA3" s="585"/>
      <c r="BB3" s="585"/>
      <c r="BC3" s="585"/>
      <c r="BD3" s="586"/>
      <c r="BE3" s="585"/>
      <c r="BF3" s="585"/>
      <c r="BG3" s="585"/>
      <c r="BH3" s="585"/>
      <c r="BI3" s="586"/>
      <c r="BJ3" s="585"/>
      <c r="BK3" s="586"/>
      <c r="BL3" s="585"/>
      <c r="BM3" s="585"/>
      <c r="BN3" s="585"/>
      <c r="BO3" s="585"/>
      <c r="BP3" s="585"/>
      <c r="BQ3" s="586"/>
      <c r="BR3" s="585"/>
      <c r="BS3" s="585"/>
      <c r="BT3" s="586"/>
      <c r="BU3" s="586"/>
      <c r="BV3" s="586"/>
    </row>
    <row r="4" spans="1:74" s="582" customFormat="1" ht="15.75">
      <c r="A4" s="587" t="s">
        <v>508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V4" s="583">
        <v>2023</v>
      </c>
      <c r="AB4" s="585"/>
      <c r="AC4" s="586"/>
      <c r="AD4" s="585"/>
      <c r="AE4" s="585"/>
      <c r="AF4" s="585"/>
      <c r="AG4" s="586"/>
      <c r="AH4" s="585"/>
      <c r="AI4" s="586"/>
      <c r="AJ4" s="585"/>
      <c r="AK4" s="586"/>
      <c r="AL4" s="585"/>
      <c r="AM4" s="585"/>
      <c r="AN4" s="585"/>
      <c r="AO4" s="585"/>
      <c r="AP4" s="585"/>
      <c r="AQ4" s="585"/>
      <c r="AR4" s="585"/>
      <c r="AS4" s="585"/>
      <c r="AT4" s="585"/>
      <c r="AU4" s="585"/>
      <c r="AV4" s="585"/>
      <c r="AW4" s="585"/>
      <c r="AX4" s="585"/>
      <c r="AY4" s="585"/>
      <c r="AZ4" s="585"/>
      <c r="BA4" s="585"/>
      <c r="BB4" s="585"/>
      <c r="BC4" s="585"/>
      <c r="BD4" s="586"/>
      <c r="BE4" s="585"/>
      <c r="BF4" s="585"/>
      <c r="BG4" s="585"/>
      <c r="BH4" s="585"/>
      <c r="BI4" s="586"/>
      <c r="BJ4" s="585"/>
      <c r="BK4" s="586"/>
      <c r="BL4" s="585"/>
      <c r="BM4" s="585"/>
      <c r="BN4" s="585"/>
      <c r="BO4" s="585"/>
      <c r="BP4" s="585"/>
      <c r="BQ4" s="586"/>
      <c r="BR4" s="585"/>
      <c r="BS4" s="585"/>
      <c r="BT4" s="586"/>
      <c r="BU4" s="586"/>
      <c r="BV4" s="586"/>
    </row>
    <row r="5" spans="1:74" s="582" customFormat="1" ht="15.75">
      <c r="A5" s="587" t="s">
        <v>509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V5" s="590" t="s">
        <v>510</v>
      </c>
      <c r="AB5" s="585"/>
      <c r="AC5" s="586"/>
      <c r="AD5" s="585"/>
      <c r="AE5" s="585"/>
      <c r="AF5" s="585"/>
      <c r="AG5" s="586"/>
      <c r="AH5" s="585"/>
      <c r="AI5" s="586"/>
      <c r="AJ5" s="585"/>
      <c r="AK5" s="586"/>
      <c r="AL5" s="585"/>
      <c r="AM5" s="585"/>
      <c r="AN5" s="585"/>
      <c r="AO5" s="585"/>
      <c r="AP5" s="585"/>
      <c r="AQ5" s="585"/>
      <c r="AR5" s="585"/>
      <c r="AS5" s="585"/>
      <c r="AT5" s="585"/>
      <c r="AU5" s="585"/>
      <c r="AV5" s="585"/>
      <c r="AW5" s="585"/>
      <c r="AX5" s="585"/>
      <c r="AY5" s="585"/>
      <c r="AZ5" s="585"/>
      <c r="BA5" s="585"/>
      <c r="BB5" s="585"/>
      <c r="BC5" s="585"/>
      <c r="BD5" s="586"/>
      <c r="BE5" s="585"/>
      <c r="BF5" s="585"/>
      <c r="BG5" s="585"/>
      <c r="BH5" s="585"/>
      <c r="BI5" s="586"/>
      <c r="BJ5" s="585"/>
      <c r="BK5" s="586"/>
      <c r="BL5" s="585"/>
      <c r="BM5" s="585"/>
      <c r="BN5" s="585"/>
      <c r="BO5" s="585"/>
      <c r="BP5" s="585"/>
      <c r="BQ5" s="586"/>
      <c r="BR5" s="585"/>
      <c r="BS5" s="585"/>
      <c r="BT5" s="586"/>
      <c r="BU5" s="586"/>
      <c r="BV5" s="586"/>
    </row>
    <row r="6" spans="1:74" s="582" customFormat="1" ht="15.75">
      <c r="A6" s="591" t="s">
        <v>511</v>
      </c>
      <c r="B6" s="591"/>
      <c r="C6" s="591"/>
      <c r="D6" s="591"/>
      <c r="E6" s="591"/>
      <c r="F6" s="1569" t="s">
        <v>512</v>
      </c>
      <c r="G6" s="1569"/>
      <c r="H6" s="1569"/>
      <c r="I6" s="1569"/>
      <c r="J6" s="1569"/>
      <c r="K6" s="1569"/>
      <c r="L6" s="1569"/>
      <c r="M6" s="1569"/>
      <c r="N6" s="1569"/>
      <c r="O6" s="1569"/>
      <c r="P6" s="1569"/>
      <c r="Q6" s="1569"/>
      <c r="R6" s="1569"/>
      <c r="V6" s="592" t="s">
        <v>513</v>
      </c>
      <c r="AB6" s="585"/>
      <c r="AC6" s="586"/>
      <c r="AD6" s="585"/>
      <c r="AE6" s="585"/>
      <c r="AF6" s="585"/>
      <c r="AG6" s="593"/>
      <c r="AH6" s="585"/>
      <c r="AI6" s="586"/>
      <c r="AJ6" s="585"/>
      <c r="AK6" s="586"/>
      <c r="AL6" s="585"/>
      <c r="AM6" s="585"/>
      <c r="AN6" s="585"/>
      <c r="AO6" s="585"/>
      <c r="AP6" s="585"/>
      <c r="AQ6" s="585"/>
      <c r="AR6" s="585"/>
      <c r="AS6" s="585"/>
      <c r="AT6" s="585"/>
      <c r="AU6" s="585"/>
      <c r="AV6" s="585"/>
      <c r="AW6" s="585"/>
      <c r="AX6" s="585"/>
      <c r="AY6" s="585"/>
      <c r="AZ6" s="585"/>
      <c r="BA6" s="585"/>
      <c r="BB6" s="585"/>
      <c r="BC6" s="585"/>
      <c r="BD6" s="586"/>
      <c r="BE6" s="585"/>
      <c r="BF6" s="585"/>
      <c r="BG6" s="585"/>
      <c r="BH6" s="585"/>
      <c r="BI6" s="586"/>
      <c r="BJ6" s="585"/>
      <c r="BK6" s="586"/>
      <c r="BL6" s="585"/>
      <c r="BM6" s="585"/>
      <c r="BN6" s="585"/>
      <c r="BO6" s="585"/>
      <c r="BP6" s="585"/>
      <c r="BQ6" s="586"/>
      <c r="BR6" s="585"/>
      <c r="BS6" s="585"/>
      <c r="BT6" s="586"/>
      <c r="BU6" s="586"/>
      <c r="BV6" s="586"/>
    </row>
    <row r="7" spans="1:74" s="582" customFormat="1" ht="15.75">
      <c r="A7" s="489" t="s">
        <v>514</v>
      </c>
      <c r="B7" s="587"/>
      <c r="C7" s="489"/>
      <c r="D7" s="587"/>
      <c r="E7" s="587"/>
      <c r="F7" s="1569" t="s">
        <v>515</v>
      </c>
      <c r="G7" s="1569"/>
      <c r="H7" s="1569"/>
      <c r="I7" s="1569"/>
      <c r="J7" s="1569"/>
      <c r="K7" s="1569"/>
      <c r="L7" s="1569"/>
      <c r="M7" s="1569"/>
      <c r="N7" s="1569"/>
      <c r="O7" s="1569"/>
      <c r="P7" s="1569"/>
      <c r="Q7" s="1569"/>
      <c r="R7" s="1569"/>
      <c r="V7" s="594">
        <v>240</v>
      </c>
      <c r="AB7" s="585"/>
      <c r="AC7" s="586"/>
      <c r="AD7" s="585"/>
      <c r="AE7" s="585"/>
      <c r="AF7" s="585"/>
      <c r="AG7" s="586"/>
      <c r="AH7" s="585"/>
      <c r="AI7" s="586"/>
      <c r="AJ7" s="585"/>
      <c r="AK7" s="586"/>
      <c r="AL7" s="585"/>
      <c r="AM7" s="585"/>
      <c r="AN7" s="585"/>
      <c r="AO7" s="585"/>
      <c r="AP7" s="585"/>
      <c r="AQ7" s="585"/>
      <c r="AR7" s="585"/>
      <c r="AS7" s="585"/>
      <c r="AT7" s="585"/>
      <c r="AU7" s="585"/>
      <c r="AV7" s="585"/>
      <c r="AW7" s="585"/>
      <c r="AX7" s="585"/>
      <c r="AY7" s="585"/>
      <c r="AZ7" s="585"/>
      <c r="BA7" s="585"/>
      <c r="BB7" s="585"/>
      <c r="BC7" s="585"/>
      <c r="BD7" s="586"/>
      <c r="BE7" s="585"/>
      <c r="BF7" s="585"/>
      <c r="BG7" s="585"/>
      <c r="BH7" s="585"/>
      <c r="BI7" s="586"/>
      <c r="BJ7" s="585"/>
      <c r="BK7" s="586"/>
      <c r="BL7" s="585"/>
      <c r="BM7" s="585"/>
      <c r="BN7" s="585"/>
      <c r="BO7" s="585"/>
      <c r="BP7" s="585"/>
      <c r="BQ7" s="586"/>
      <c r="BR7" s="585"/>
      <c r="BS7" s="585"/>
      <c r="BT7" s="586"/>
      <c r="BU7" s="586"/>
      <c r="BV7" s="586"/>
    </row>
    <row r="8" spans="1:74" s="582" customFormat="1" ht="15.75">
      <c r="A8" s="591" t="s">
        <v>516</v>
      </c>
      <c r="B8" s="591"/>
      <c r="C8" s="591"/>
      <c r="D8" s="591"/>
      <c r="E8" s="591"/>
      <c r="F8" s="1569" t="s">
        <v>672</v>
      </c>
      <c r="G8" s="1569"/>
      <c r="H8" s="1569"/>
      <c r="I8" s="1569"/>
      <c r="J8" s="1569"/>
      <c r="K8" s="1569"/>
      <c r="L8" s="1569"/>
      <c r="M8" s="1569"/>
      <c r="N8" s="1569"/>
      <c r="O8" s="1569"/>
      <c r="P8" s="1569"/>
      <c r="Q8" s="1569"/>
      <c r="R8" s="1569"/>
      <c r="V8" s="594"/>
      <c r="AB8" s="585"/>
      <c r="AC8" s="586"/>
      <c r="AD8" s="585"/>
      <c r="AE8" s="585"/>
      <c r="AF8" s="585"/>
      <c r="AG8" s="593"/>
      <c r="AH8" s="585"/>
      <c r="AI8" s="586"/>
      <c r="AJ8" s="585"/>
      <c r="AK8" s="586"/>
      <c r="AL8" s="585"/>
      <c r="AM8" s="585"/>
      <c r="AN8" s="585"/>
      <c r="AO8" s="585"/>
      <c r="AP8" s="585"/>
      <c r="AQ8" s="585"/>
      <c r="AR8" s="585"/>
      <c r="AS8" s="585"/>
      <c r="AT8" s="585"/>
      <c r="AU8" s="585"/>
      <c r="AV8" s="585"/>
      <c r="AW8" s="585"/>
      <c r="AX8" s="585"/>
      <c r="AY8" s="585"/>
      <c r="AZ8" s="585"/>
      <c r="BA8" s="585"/>
      <c r="BB8" s="585"/>
      <c r="BC8" s="585"/>
      <c r="BD8" s="586"/>
      <c r="BE8" s="585"/>
      <c r="BF8" s="585"/>
      <c r="BG8" s="585"/>
      <c r="BH8" s="585"/>
      <c r="BI8" s="586"/>
      <c r="BJ8" s="585"/>
      <c r="BK8" s="586"/>
      <c r="BL8" s="585"/>
      <c r="BM8" s="585"/>
      <c r="BN8" s="585"/>
      <c r="BO8" s="585"/>
      <c r="BP8" s="585"/>
      <c r="BQ8" s="586"/>
      <c r="BR8" s="585"/>
      <c r="BS8" s="585"/>
      <c r="BT8" s="586"/>
      <c r="BU8" s="586"/>
      <c r="BV8" s="586"/>
    </row>
    <row r="9" spans="1:74" s="582" customFormat="1" ht="15.75">
      <c r="A9" s="489" t="s">
        <v>517</v>
      </c>
      <c r="B9" s="587"/>
      <c r="C9" s="587"/>
      <c r="D9" s="587"/>
      <c r="E9" s="587"/>
      <c r="F9" s="1569" t="s">
        <v>518</v>
      </c>
      <c r="G9" s="1569"/>
      <c r="H9" s="1569"/>
      <c r="I9" s="1569"/>
      <c r="J9" s="1569"/>
      <c r="K9" s="1569"/>
      <c r="L9" s="1569"/>
      <c r="M9" s="1569"/>
      <c r="N9" s="1569"/>
      <c r="O9" s="1569"/>
      <c r="P9" s="1569"/>
      <c r="Q9" s="1569"/>
      <c r="R9" s="1569"/>
      <c r="V9" s="592" t="s">
        <v>519</v>
      </c>
      <c r="AB9" s="585"/>
      <c r="AC9" s="586"/>
      <c r="AD9" s="585"/>
      <c r="AE9" s="585"/>
      <c r="AF9" s="585"/>
      <c r="AG9" s="593"/>
      <c r="AH9" s="585"/>
      <c r="AI9" s="586"/>
      <c r="AJ9" s="585"/>
      <c r="AK9" s="586"/>
      <c r="AL9" s="585"/>
      <c r="AM9" s="585"/>
      <c r="AN9" s="585"/>
      <c r="AO9" s="585"/>
      <c r="AP9" s="585"/>
      <c r="AQ9" s="585"/>
      <c r="AR9" s="585"/>
      <c r="AS9" s="585"/>
      <c r="AT9" s="585"/>
      <c r="AU9" s="585"/>
      <c r="AV9" s="585"/>
      <c r="AW9" s="585"/>
      <c r="AX9" s="585"/>
      <c r="AY9" s="585"/>
      <c r="AZ9" s="585"/>
      <c r="BA9" s="585"/>
      <c r="BB9" s="585"/>
      <c r="BC9" s="585"/>
      <c r="BD9" s="586"/>
      <c r="BE9" s="585"/>
      <c r="BF9" s="585"/>
      <c r="BG9" s="585"/>
      <c r="BH9" s="585"/>
      <c r="BI9" s="586"/>
      <c r="BJ9" s="585"/>
      <c r="BK9" s="586"/>
      <c r="BL9" s="585"/>
      <c r="BM9" s="585"/>
      <c r="BN9" s="585"/>
      <c r="BO9" s="585"/>
      <c r="BP9" s="585"/>
      <c r="BQ9" s="586"/>
      <c r="BR9" s="585"/>
      <c r="BS9" s="585"/>
      <c r="BT9" s="586"/>
      <c r="BU9" s="586"/>
      <c r="BV9" s="586"/>
    </row>
    <row r="10" spans="1:74" s="582" customFormat="1" ht="15.75">
      <c r="A10" s="1572" t="s">
        <v>520</v>
      </c>
      <c r="B10" s="1572"/>
      <c r="C10" s="1572"/>
      <c r="D10" s="1572"/>
      <c r="E10" s="1572"/>
      <c r="F10" s="1569" t="s">
        <v>521</v>
      </c>
      <c r="G10" s="1569"/>
      <c r="H10" s="1569"/>
      <c r="I10" s="1569"/>
      <c r="J10" s="1569"/>
      <c r="K10" s="1569"/>
      <c r="L10" s="1569"/>
      <c r="M10" s="1569"/>
      <c r="N10" s="1569"/>
      <c r="O10" s="1569"/>
      <c r="P10" s="1569"/>
      <c r="Q10" s="1569"/>
      <c r="R10" s="1569"/>
      <c r="V10" s="594">
        <v>100</v>
      </c>
      <c r="AB10" s="585"/>
      <c r="AC10" s="586"/>
      <c r="AD10" s="585"/>
      <c r="AE10" s="585"/>
      <c r="AF10" s="585"/>
      <c r="AG10" s="593"/>
      <c r="AH10" s="585"/>
      <c r="AI10" s="586"/>
      <c r="AJ10" s="585"/>
      <c r="AK10" s="586"/>
      <c r="AL10" s="585"/>
      <c r="AM10" s="585"/>
      <c r="AN10" s="585"/>
      <c r="AO10" s="585"/>
      <c r="AP10" s="585"/>
      <c r="AQ10" s="585"/>
      <c r="AR10" s="585"/>
      <c r="AS10" s="585"/>
      <c r="AT10" s="585"/>
      <c r="AU10" s="585"/>
      <c r="AV10" s="585"/>
      <c r="AW10" s="585"/>
      <c r="AX10" s="585"/>
      <c r="AY10" s="585"/>
      <c r="AZ10" s="585"/>
      <c r="BA10" s="585"/>
      <c r="BB10" s="585"/>
      <c r="BC10" s="585"/>
      <c r="BD10" s="586"/>
      <c r="BE10" s="585"/>
      <c r="BF10" s="585"/>
      <c r="BG10" s="585"/>
      <c r="BH10" s="585"/>
      <c r="BI10" s="586"/>
      <c r="BJ10" s="585"/>
      <c r="BK10" s="586"/>
      <c r="BL10" s="585"/>
      <c r="BM10" s="585"/>
      <c r="BN10" s="585"/>
      <c r="BO10" s="585"/>
      <c r="BP10" s="585"/>
      <c r="BQ10" s="586"/>
      <c r="BR10" s="585"/>
      <c r="BS10" s="585"/>
      <c r="BT10" s="586"/>
      <c r="BU10" s="586"/>
      <c r="BV10" s="586"/>
    </row>
    <row r="11" spans="1:74" s="582" customFormat="1" ht="15.75">
      <c r="A11" s="489" t="s">
        <v>522</v>
      </c>
      <c r="B11" s="587"/>
      <c r="C11" s="587"/>
      <c r="D11" s="587"/>
      <c r="E11" s="587"/>
      <c r="F11" s="1569" t="s">
        <v>539</v>
      </c>
      <c r="G11" s="1569"/>
      <c r="H11" s="1569"/>
      <c r="I11" s="1569"/>
      <c r="J11" s="1569"/>
      <c r="K11" s="1569"/>
      <c r="L11" s="1569"/>
      <c r="M11" s="1569"/>
      <c r="N11" s="1569"/>
      <c r="O11" s="1569"/>
      <c r="P11" s="1569"/>
      <c r="Q11" s="1569"/>
      <c r="R11" s="1569"/>
      <c r="V11" s="595">
        <v>111</v>
      </c>
      <c r="AB11" s="585"/>
      <c r="AC11" s="586"/>
      <c r="AD11" s="585"/>
      <c r="AE11" s="585"/>
      <c r="AF11" s="585"/>
      <c r="AG11" s="586"/>
      <c r="AH11" s="585"/>
      <c r="AI11" s="586"/>
      <c r="AJ11" s="585"/>
      <c r="AK11" s="586"/>
      <c r="AL11" s="585"/>
      <c r="AM11" s="585"/>
      <c r="AN11" s="585"/>
      <c r="AO11" s="585"/>
      <c r="AP11" s="585"/>
      <c r="AQ11" s="585"/>
      <c r="AR11" s="585"/>
      <c r="AS11" s="585"/>
      <c r="AT11" s="585"/>
      <c r="AU11" s="585"/>
      <c r="AV11" s="585"/>
      <c r="AW11" s="585"/>
      <c r="AX11" s="585"/>
      <c r="AY11" s="585"/>
      <c r="AZ11" s="585"/>
      <c r="BA11" s="585"/>
      <c r="BB11" s="585"/>
      <c r="BC11" s="585"/>
      <c r="BD11" s="586"/>
      <c r="BE11" s="585"/>
      <c r="BF11" s="585"/>
      <c r="BG11" s="585"/>
      <c r="BH11" s="585"/>
      <c r="BI11" s="586"/>
      <c r="BJ11" s="585"/>
      <c r="BK11" s="586"/>
      <c r="BL11" s="585"/>
      <c r="BM11" s="585"/>
      <c r="BN11" s="585"/>
      <c r="BO11" s="585"/>
      <c r="BP11" s="585"/>
      <c r="BQ11" s="586"/>
      <c r="BR11" s="585"/>
      <c r="BS11" s="585"/>
      <c r="BT11" s="586"/>
      <c r="BU11" s="586"/>
      <c r="BV11" s="586"/>
    </row>
    <row r="12" spans="1:74" s="582" customFormat="1" ht="15.75">
      <c r="A12" s="596"/>
      <c r="U12" s="583"/>
      <c r="V12" s="584"/>
      <c r="AB12" s="585"/>
      <c r="AC12" s="586"/>
      <c r="AD12" s="585"/>
      <c r="AE12" s="585"/>
      <c r="AF12" s="585"/>
      <c r="AG12" s="586"/>
      <c r="AH12" s="585"/>
      <c r="AI12" s="586"/>
      <c r="AJ12" s="585"/>
      <c r="AK12" s="586"/>
      <c r="AL12" s="585"/>
      <c r="AM12" s="585"/>
      <c r="AN12" s="585"/>
      <c r="AO12" s="585"/>
      <c r="AP12" s="585"/>
      <c r="AQ12" s="585"/>
      <c r="AR12" s="585"/>
      <c r="AS12" s="585"/>
      <c r="AT12" s="585"/>
      <c r="AU12" s="585"/>
      <c r="AV12" s="585"/>
      <c r="AW12" s="585"/>
      <c r="AX12" s="585"/>
      <c r="AY12" s="585"/>
      <c r="AZ12" s="585"/>
      <c r="BA12" s="585"/>
      <c r="BB12" s="585"/>
      <c r="BC12" s="585"/>
      <c r="BD12" s="586"/>
      <c r="BE12" s="585"/>
      <c r="BF12" s="585"/>
      <c r="BG12" s="585"/>
      <c r="BH12" s="585"/>
      <c r="BI12" s="586"/>
      <c r="BJ12" s="585"/>
      <c r="BK12" s="586"/>
      <c r="BL12" s="585"/>
      <c r="BM12" s="585"/>
      <c r="BN12" s="585"/>
      <c r="BO12" s="585"/>
      <c r="BP12" s="585"/>
      <c r="BQ12" s="586"/>
      <c r="BR12" s="585"/>
      <c r="BS12" s="585"/>
      <c r="BT12" s="586"/>
      <c r="BU12" s="586"/>
      <c r="BV12" s="586"/>
    </row>
    <row r="13" spans="1:74" s="578" customFormat="1" ht="27" customHeight="1">
      <c r="A13" s="1573" t="s">
        <v>540</v>
      </c>
      <c r="B13" s="1574" t="s">
        <v>541</v>
      </c>
      <c r="C13" s="1574"/>
      <c r="D13" s="1574"/>
      <c r="E13" s="1574"/>
      <c r="F13" s="1574"/>
      <c r="G13" s="1574"/>
      <c r="H13" s="1574"/>
      <c r="I13" s="1574"/>
      <c r="J13" s="1574"/>
      <c r="K13" s="1574"/>
      <c r="L13" s="1574" t="s">
        <v>541</v>
      </c>
      <c r="M13" s="1574"/>
      <c r="N13" s="1574"/>
      <c r="O13" s="1574"/>
      <c r="P13" s="1574"/>
      <c r="Q13" s="1574"/>
      <c r="R13" s="1574"/>
      <c r="S13" s="1574"/>
      <c r="T13" s="1574"/>
      <c r="U13" s="1574"/>
      <c r="V13" s="1577" t="s">
        <v>542</v>
      </c>
      <c r="W13" s="1574" t="s">
        <v>543</v>
      </c>
      <c r="X13" s="1574"/>
      <c r="Y13" s="1574" t="s">
        <v>544</v>
      </c>
      <c r="Z13" s="1574" t="s">
        <v>545</v>
      </c>
      <c r="AA13" s="1574"/>
      <c r="AB13" s="1574"/>
      <c r="AC13" s="1574"/>
      <c r="AD13" s="1574"/>
      <c r="AE13" s="1574"/>
      <c r="AF13" s="1574"/>
      <c r="AG13" s="1574"/>
      <c r="AH13" s="1578" t="s">
        <v>545</v>
      </c>
      <c r="AI13" s="1578"/>
      <c r="AJ13" s="1578"/>
      <c r="AK13" s="1578"/>
      <c r="AL13" s="1578"/>
      <c r="AM13" s="1578"/>
      <c r="AN13" s="1578"/>
      <c r="AO13" s="1578"/>
      <c r="AP13" s="1578"/>
      <c r="AQ13" s="1578"/>
      <c r="AR13" s="1578" t="s">
        <v>546</v>
      </c>
      <c r="AS13" s="1578"/>
      <c r="AT13" s="1578" t="s">
        <v>547</v>
      </c>
      <c r="AU13" s="1578"/>
      <c r="AV13" s="1578" t="s">
        <v>548</v>
      </c>
      <c r="AW13" s="1578"/>
      <c r="AX13" s="1578"/>
      <c r="AY13" s="1578"/>
      <c r="AZ13" s="1578"/>
      <c r="BA13" s="1578"/>
      <c r="BB13" s="1583" t="s">
        <v>545</v>
      </c>
      <c r="BC13" s="1584"/>
      <c r="BD13" s="1584"/>
      <c r="BE13" s="1584"/>
      <c r="BF13" s="1584"/>
      <c r="BG13" s="1584"/>
      <c r="BH13" s="1585"/>
      <c r="BI13" s="1586" t="s">
        <v>549</v>
      </c>
      <c r="BJ13" s="1589" t="s">
        <v>550</v>
      </c>
      <c r="BK13" s="1590"/>
      <c r="BL13" s="1590"/>
      <c r="BM13" s="1590"/>
      <c r="BN13" s="1590"/>
      <c r="BO13" s="1590"/>
      <c r="BP13" s="1590"/>
      <c r="BQ13" s="1590"/>
      <c r="BR13" s="1590"/>
      <c r="BS13" s="1591"/>
      <c r="BT13" s="1586" t="s">
        <v>551</v>
      </c>
      <c r="BU13" s="1579" t="s">
        <v>552</v>
      </c>
      <c r="BV13" s="1579" t="s">
        <v>553</v>
      </c>
    </row>
    <row r="14" spans="1:74" s="578" customFormat="1" ht="54.75" customHeight="1">
      <c r="A14" s="1573"/>
      <c r="B14" s="1574" t="s">
        <v>554</v>
      </c>
      <c r="C14" s="1574"/>
      <c r="D14" s="1574"/>
      <c r="E14" s="1574"/>
      <c r="F14" s="1574"/>
      <c r="G14" s="1574"/>
      <c r="H14" s="1574"/>
      <c r="I14" s="1574"/>
      <c r="J14" s="1580" t="s">
        <v>555</v>
      </c>
      <c r="K14" s="1581"/>
      <c r="L14" s="1581"/>
      <c r="M14" s="1581"/>
      <c r="N14" s="1581"/>
      <c r="O14" s="1581"/>
      <c r="P14" s="1581"/>
      <c r="Q14" s="1581"/>
      <c r="R14" s="1581"/>
      <c r="S14" s="1581"/>
      <c r="T14" s="1582"/>
      <c r="U14" s="1573" t="s">
        <v>556</v>
      </c>
      <c r="V14" s="1577"/>
      <c r="W14" s="1574"/>
      <c r="X14" s="1574"/>
      <c r="Y14" s="1574"/>
      <c r="Z14" s="1574" t="s">
        <v>557</v>
      </c>
      <c r="AA14" s="1574"/>
      <c r="AB14" s="1578" t="s">
        <v>558</v>
      </c>
      <c r="AC14" s="1578"/>
      <c r="AD14" s="1578" t="s">
        <v>559</v>
      </c>
      <c r="AE14" s="1578"/>
      <c r="AF14" s="1578" t="s">
        <v>557</v>
      </c>
      <c r="AG14" s="1578"/>
      <c r="AH14" s="1579" t="s">
        <v>560</v>
      </c>
      <c r="AI14" s="1579"/>
      <c r="AJ14" s="1579" t="s">
        <v>561</v>
      </c>
      <c r="AK14" s="1579"/>
      <c r="AL14" s="1578" t="s">
        <v>562</v>
      </c>
      <c r="AM14" s="1578"/>
      <c r="AN14" s="1578" t="s">
        <v>563</v>
      </c>
      <c r="AO14" s="1578"/>
      <c r="AP14" s="1578" t="s">
        <v>564</v>
      </c>
      <c r="AQ14" s="1578"/>
      <c r="AR14" s="1578" t="s">
        <v>565</v>
      </c>
      <c r="AS14" s="1578" t="s">
        <v>292</v>
      </c>
      <c r="AT14" s="1578" t="s">
        <v>565</v>
      </c>
      <c r="AU14" s="1578" t="s">
        <v>292</v>
      </c>
      <c r="AV14" s="1578" t="s">
        <v>565</v>
      </c>
      <c r="AW14" s="1578"/>
      <c r="AX14" s="1578"/>
      <c r="AY14" s="1578"/>
      <c r="AZ14" s="1578"/>
      <c r="BA14" s="1578"/>
      <c r="BB14" s="597" t="s">
        <v>548</v>
      </c>
      <c r="BC14" s="1579" t="s">
        <v>566</v>
      </c>
      <c r="BD14" s="1579"/>
      <c r="BE14" s="1578" t="s">
        <v>567</v>
      </c>
      <c r="BF14" s="1578"/>
      <c r="BG14" s="1578" t="s">
        <v>568</v>
      </c>
      <c r="BH14" s="1578"/>
      <c r="BI14" s="1587"/>
      <c r="BJ14" s="1575" t="s">
        <v>569</v>
      </c>
      <c r="BK14" s="1576"/>
      <c r="BL14" s="1575" t="s">
        <v>570</v>
      </c>
      <c r="BM14" s="1576"/>
      <c r="BN14" s="1575" t="s">
        <v>571</v>
      </c>
      <c r="BO14" s="1576"/>
      <c r="BP14" s="1579" t="s">
        <v>572</v>
      </c>
      <c r="BQ14" s="1579"/>
      <c r="BR14" s="1578" t="s">
        <v>573</v>
      </c>
      <c r="BS14" s="1578"/>
      <c r="BT14" s="1587"/>
      <c r="BU14" s="1579"/>
      <c r="BV14" s="1579"/>
    </row>
    <row r="15" spans="1:74" s="578" customFormat="1" ht="102" customHeight="1">
      <c r="A15" s="1573"/>
      <c r="B15" s="598" t="s">
        <v>574</v>
      </c>
      <c r="C15" s="598" t="s">
        <v>575</v>
      </c>
      <c r="D15" s="598" t="s">
        <v>576</v>
      </c>
      <c r="E15" s="598" t="s">
        <v>577</v>
      </c>
      <c r="F15" s="598" t="s">
        <v>578</v>
      </c>
      <c r="G15" s="598" t="s">
        <v>579</v>
      </c>
      <c r="H15" s="598" t="s">
        <v>580</v>
      </c>
      <c r="I15" s="598" t="s">
        <v>88</v>
      </c>
      <c r="J15" s="598" t="s">
        <v>581</v>
      </c>
      <c r="K15" s="598" t="s">
        <v>582</v>
      </c>
      <c r="L15" s="598" t="s">
        <v>583</v>
      </c>
      <c r="M15" s="598" t="s">
        <v>162</v>
      </c>
      <c r="N15" s="598" t="s">
        <v>584</v>
      </c>
      <c r="O15" s="598" t="s">
        <v>167</v>
      </c>
      <c r="P15" s="598" t="s">
        <v>92</v>
      </c>
      <c r="Q15" s="598" t="s">
        <v>585</v>
      </c>
      <c r="R15" s="598" t="s">
        <v>103</v>
      </c>
      <c r="S15" s="598" t="s">
        <v>106</v>
      </c>
      <c r="T15" s="598" t="s">
        <v>88</v>
      </c>
      <c r="U15" s="1573"/>
      <c r="V15" s="1577"/>
      <c r="W15" s="598" t="s">
        <v>586</v>
      </c>
      <c r="X15" s="598" t="s">
        <v>292</v>
      </c>
      <c r="Y15" s="1574"/>
      <c r="Z15" s="598" t="s">
        <v>565</v>
      </c>
      <c r="AA15" s="598" t="s">
        <v>292</v>
      </c>
      <c r="AB15" s="597" t="s">
        <v>565</v>
      </c>
      <c r="AC15" s="599" t="s">
        <v>292</v>
      </c>
      <c r="AD15" s="597" t="s">
        <v>565</v>
      </c>
      <c r="AE15" s="597" t="s">
        <v>292</v>
      </c>
      <c r="AF15" s="597" t="s">
        <v>565</v>
      </c>
      <c r="AG15" s="599" t="s">
        <v>292</v>
      </c>
      <c r="AH15" s="597" t="s">
        <v>565</v>
      </c>
      <c r="AI15" s="599" t="s">
        <v>292</v>
      </c>
      <c r="AJ15" s="597" t="s">
        <v>565</v>
      </c>
      <c r="AK15" s="599" t="s">
        <v>292</v>
      </c>
      <c r="AL15" s="597" t="s">
        <v>565</v>
      </c>
      <c r="AM15" s="597" t="s">
        <v>292</v>
      </c>
      <c r="AN15" s="597" t="s">
        <v>565</v>
      </c>
      <c r="AO15" s="597" t="s">
        <v>292</v>
      </c>
      <c r="AP15" s="597" t="s">
        <v>565</v>
      </c>
      <c r="AQ15" s="597" t="s">
        <v>292</v>
      </c>
      <c r="AR15" s="1578"/>
      <c r="AS15" s="1578"/>
      <c r="AT15" s="1578"/>
      <c r="AU15" s="1578"/>
      <c r="AV15" s="597" t="s">
        <v>587</v>
      </c>
      <c r="AW15" s="597" t="s">
        <v>588</v>
      </c>
      <c r="AX15" s="597" t="s">
        <v>589</v>
      </c>
      <c r="AY15" s="597" t="s">
        <v>590</v>
      </c>
      <c r="AZ15" s="597" t="s">
        <v>591</v>
      </c>
      <c r="BA15" s="597" t="s">
        <v>592</v>
      </c>
      <c r="BB15" s="597" t="s">
        <v>593</v>
      </c>
      <c r="BC15" s="597" t="s">
        <v>565</v>
      </c>
      <c r="BD15" s="599" t="s">
        <v>292</v>
      </c>
      <c r="BE15" s="597" t="s">
        <v>565</v>
      </c>
      <c r="BF15" s="597" t="s">
        <v>292</v>
      </c>
      <c r="BG15" s="597" t="s">
        <v>565</v>
      </c>
      <c r="BH15" s="597" t="s">
        <v>292</v>
      </c>
      <c r="BI15" s="1588"/>
      <c r="BJ15" s="597" t="s">
        <v>594</v>
      </c>
      <c r="BK15" s="599" t="s">
        <v>292</v>
      </c>
      <c r="BL15" s="597" t="s">
        <v>595</v>
      </c>
      <c r="BM15" s="597" t="s">
        <v>292</v>
      </c>
      <c r="BN15" s="597" t="s">
        <v>595</v>
      </c>
      <c r="BO15" s="597" t="s">
        <v>292</v>
      </c>
      <c r="BP15" s="597" t="s">
        <v>595</v>
      </c>
      <c r="BQ15" s="599" t="s">
        <v>292</v>
      </c>
      <c r="BR15" s="597" t="s">
        <v>595</v>
      </c>
      <c r="BS15" s="597" t="s">
        <v>292</v>
      </c>
      <c r="BT15" s="1588"/>
      <c r="BU15" s="1579"/>
      <c r="BV15" s="1579"/>
    </row>
    <row r="16" spans="1:74" s="603" customFormat="1">
      <c r="A16" s="600">
        <v>1</v>
      </c>
      <c r="B16" s="600">
        <v>2</v>
      </c>
      <c r="C16" s="600">
        <v>3</v>
      </c>
      <c r="D16" s="600">
        <v>4</v>
      </c>
      <c r="E16" s="600">
        <v>5</v>
      </c>
      <c r="F16" s="600">
        <v>6</v>
      </c>
      <c r="G16" s="600">
        <v>7</v>
      </c>
      <c r="H16" s="600">
        <v>8</v>
      </c>
      <c r="I16" s="600">
        <v>9</v>
      </c>
      <c r="J16" s="600">
        <v>10</v>
      </c>
      <c r="K16" s="600">
        <v>11</v>
      </c>
      <c r="L16" s="600">
        <v>12</v>
      </c>
      <c r="M16" s="600">
        <v>13</v>
      </c>
      <c r="N16" s="600">
        <v>14</v>
      </c>
      <c r="O16" s="600">
        <v>15</v>
      </c>
      <c r="P16" s="600">
        <v>16</v>
      </c>
      <c r="Q16" s="600">
        <v>17</v>
      </c>
      <c r="R16" s="600">
        <v>18</v>
      </c>
      <c r="S16" s="600">
        <v>19</v>
      </c>
      <c r="T16" s="600">
        <v>20</v>
      </c>
      <c r="U16" s="575">
        <v>21</v>
      </c>
      <c r="V16" s="601">
        <v>22</v>
      </c>
      <c r="W16" s="600">
        <v>23</v>
      </c>
      <c r="X16" s="600">
        <v>24</v>
      </c>
      <c r="Y16" s="600">
        <v>25</v>
      </c>
      <c r="Z16" s="600">
        <v>26</v>
      </c>
      <c r="AA16" s="600">
        <v>27</v>
      </c>
      <c r="AB16" s="602">
        <v>28</v>
      </c>
      <c r="AC16" s="602">
        <v>29</v>
      </c>
      <c r="AD16" s="602">
        <v>30</v>
      </c>
      <c r="AE16" s="602">
        <v>31</v>
      </c>
      <c r="AF16" s="602">
        <v>32</v>
      </c>
      <c r="AG16" s="602">
        <v>33</v>
      </c>
      <c r="AH16" s="602">
        <v>34</v>
      </c>
      <c r="AI16" s="602">
        <v>35</v>
      </c>
      <c r="AJ16" s="602">
        <v>36</v>
      </c>
      <c r="AK16" s="602">
        <v>37</v>
      </c>
      <c r="AL16" s="602">
        <v>38</v>
      </c>
      <c r="AM16" s="602">
        <v>39</v>
      </c>
      <c r="AN16" s="602">
        <v>40</v>
      </c>
      <c r="AO16" s="602">
        <v>41</v>
      </c>
      <c r="AP16" s="602">
        <v>42</v>
      </c>
      <c r="AQ16" s="602">
        <v>43</v>
      </c>
      <c r="AR16" s="602">
        <v>44</v>
      </c>
      <c r="AS16" s="602">
        <v>45</v>
      </c>
      <c r="AT16" s="602">
        <v>46</v>
      </c>
      <c r="AU16" s="602">
        <v>47</v>
      </c>
      <c r="AV16" s="602">
        <v>48</v>
      </c>
      <c r="AW16" s="602">
        <v>49</v>
      </c>
      <c r="AX16" s="602">
        <v>50</v>
      </c>
      <c r="AY16" s="602">
        <v>51</v>
      </c>
      <c r="AZ16" s="602">
        <v>52</v>
      </c>
      <c r="BA16" s="602">
        <v>53</v>
      </c>
      <c r="BB16" s="602">
        <v>54</v>
      </c>
      <c r="BC16" s="602">
        <v>55</v>
      </c>
      <c r="BD16" s="602">
        <v>56</v>
      </c>
      <c r="BE16" s="602">
        <v>57</v>
      </c>
      <c r="BF16" s="602">
        <v>58</v>
      </c>
      <c r="BG16" s="602">
        <v>59</v>
      </c>
      <c r="BH16" s="602">
        <v>60</v>
      </c>
      <c r="BI16" s="602">
        <v>61</v>
      </c>
      <c r="BJ16" s="602">
        <v>62</v>
      </c>
      <c r="BK16" s="602">
        <v>63</v>
      </c>
      <c r="BL16" s="602">
        <v>64</v>
      </c>
      <c r="BM16" s="602">
        <v>65</v>
      </c>
      <c r="BN16" s="602">
        <v>66</v>
      </c>
      <c r="BO16" s="602">
        <v>67</v>
      </c>
      <c r="BP16" s="602">
        <v>68</v>
      </c>
      <c r="BQ16" s="602">
        <v>69</v>
      </c>
      <c r="BR16" s="602">
        <v>70</v>
      </c>
      <c r="BS16" s="602">
        <v>71</v>
      </c>
      <c r="BT16" s="602">
        <v>72</v>
      </c>
      <c r="BU16" s="602">
        <v>73</v>
      </c>
      <c r="BV16" s="602">
        <v>74</v>
      </c>
    </row>
    <row r="17" spans="1:74" s="610" customFormat="1" ht="22.5">
      <c r="A17" s="604" t="s">
        <v>221</v>
      </c>
      <c r="B17" s="605" t="s">
        <v>526</v>
      </c>
      <c r="C17" s="605" t="s">
        <v>526</v>
      </c>
      <c r="D17" s="605" t="s">
        <v>526</v>
      </c>
      <c r="E17" s="605" t="s">
        <v>526</v>
      </c>
      <c r="F17" s="605" t="s">
        <v>526</v>
      </c>
      <c r="G17" s="605" t="s">
        <v>526</v>
      </c>
      <c r="H17" s="605" t="s">
        <v>526</v>
      </c>
      <c r="I17" s="605" t="s">
        <v>526</v>
      </c>
      <c r="J17" s="605" t="s">
        <v>526</v>
      </c>
      <c r="K17" s="605" t="s">
        <v>526</v>
      </c>
      <c r="L17" s="605" t="s">
        <v>526</v>
      </c>
      <c r="M17" s="605" t="s">
        <v>526</v>
      </c>
      <c r="N17" s="605" t="s">
        <v>526</v>
      </c>
      <c r="O17" s="605" t="s">
        <v>526</v>
      </c>
      <c r="P17" s="605" t="s">
        <v>526</v>
      </c>
      <c r="Q17" s="605" t="s">
        <v>526</v>
      </c>
      <c r="R17" s="605" t="s">
        <v>526</v>
      </c>
      <c r="S17" s="605" t="s">
        <v>526</v>
      </c>
      <c r="T17" s="605" t="s">
        <v>526</v>
      </c>
      <c r="U17" s="606" t="s">
        <v>526</v>
      </c>
      <c r="V17" s="607" t="s">
        <v>527</v>
      </c>
      <c r="W17" s="605" t="s">
        <v>526</v>
      </c>
      <c r="X17" s="605" t="s">
        <v>527</v>
      </c>
      <c r="Y17" s="605" t="s">
        <v>527</v>
      </c>
      <c r="Z17" s="605" t="s">
        <v>526</v>
      </c>
      <c r="AA17" s="605" t="s">
        <v>527</v>
      </c>
      <c r="AB17" s="608" t="s">
        <v>526</v>
      </c>
      <c r="AC17" s="609" t="s">
        <v>527</v>
      </c>
      <c r="AD17" s="608" t="s">
        <v>526</v>
      </c>
      <c r="AE17" s="608" t="s">
        <v>527</v>
      </c>
      <c r="AF17" s="608" t="s">
        <v>526</v>
      </c>
      <c r="AG17" s="609" t="s">
        <v>527</v>
      </c>
      <c r="AH17" s="608" t="s">
        <v>526</v>
      </c>
      <c r="AI17" s="609" t="s">
        <v>527</v>
      </c>
      <c r="AJ17" s="608" t="s">
        <v>526</v>
      </c>
      <c r="AK17" s="609" t="s">
        <v>527</v>
      </c>
      <c r="AL17" s="608" t="s">
        <v>526</v>
      </c>
      <c r="AM17" s="608" t="s">
        <v>527</v>
      </c>
      <c r="AN17" s="608" t="s">
        <v>526</v>
      </c>
      <c r="AO17" s="608" t="s">
        <v>527</v>
      </c>
      <c r="AP17" s="608" t="s">
        <v>526</v>
      </c>
      <c r="AQ17" s="608" t="s">
        <v>527</v>
      </c>
      <c r="AR17" s="608" t="s">
        <v>526</v>
      </c>
      <c r="AS17" s="608" t="s">
        <v>527</v>
      </c>
      <c r="AT17" s="608" t="s">
        <v>526</v>
      </c>
      <c r="AU17" s="608" t="s">
        <v>527</v>
      </c>
      <c r="AV17" s="608" t="s">
        <v>526</v>
      </c>
      <c r="AW17" s="608" t="s">
        <v>526</v>
      </c>
      <c r="AX17" s="608" t="s">
        <v>526</v>
      </c>
      <c r="AY17" s="608" t="s">
        <v>526</v>
      </c>
      <c r="AZ17" s="608" t="s">
        <v>526</v>
      </c>
      <c r="BA17" s="608" t="s">
        <v>526</v>
      </c>
      <c r="BB17" s="608" t="s">
        <v>527</v>
      </c>
      <c r="BC17" s="608" t="s">
        <v>526</v>
      </c>
      <c r="BD17" s="609" t="s">
        <v>527</v>
      </c>
      <c r="BE17" s="608" t="s">
        <v>526</v>
      </c>
      <c r="BF17" s="608" t="s">
        <v>527</v>
      </c>
      <c r="BG17" s="608" t="s">
        <v>526</v>
      </c>
      <c r="BH17" s="608" t="s">
        <v>527</v>
      </c>
      <c r="BI17" s="609" t="s">
        <v>596</v>
      </c>
      <c r="BJ17" s="608" t="s">
        <v>526</v>
      </c>
      <c r="BK17" s="609" t="s">
        <v>527</v>
      </c>
      <c r="BL17" s="608" t="s">
        <v>526</v>
      </c>
      <c r="BM17" s="608" t="s">
        <v>527</v>
      </c>
      <c r="BN17" s="608" t="s">
        <v>526</v>
      </c>
      <c r="BO17" s="608" t="s">
        <v>527</v>
      </c>
      <c r="BP17" s="608" t="s">
        <v>526</v>
      </c>
      <c r="BQ17" s="609" t="s">
        <v>527</v>
      </c>
      <c r="BR17" s="608" t="s">
        <v>526</v>
      </c>
      <c r="BS17" s="608" t="s">
        <v>527</v>
      </c>
      <c r="BT17" s="609" t="s">
        <v>527</v>
      </c>
      <c r="BU17" s="609" t="s">
        <v>527</v>
      </c>
      <c r="BV17" s="609" t="s">
        <v>527</v>
      </c>
    </row>
    <row r="18" spans="1:74" s="621" customFormat="1" ht="18.75">
      <c r="A18" s="611" t="s">
        <v>597</v>
      </c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2"/>
      <c r="P18" s="612"/>
      <c r="Q18" s="612"/>
      <c r="R18" s="612"/>
      <c r="S18" s="612"/>
      <c r="T18" s="612"/>
      <c r="U18" s="613">
        <f>B18+C18+D18+E18+F18+G18+H18+I18+J18+K18+L18+M18+N18+O18+P18+Q18+R18+S18+T18</f>
        <v>0</v>
      </c>
      <c r="V18" s="614"/>
      <c r="W18" s="612"/>
      <c r="X18" s="612"/>
      <c r="Y18" s="612"/>
      <c r="Z18" s="612"/>
      <c r="AA18" s="612"/>
      <c r="AB18" s="615"/>
      <c r="AC18" s="616"/>
      <c r="AD18" s="615"/>
      <c r="AE18" s="615"/>
      <c r="AF18" s="617"/>
      <c r="AG18" s="618"/>
      <c r="AH18" s="615"/>
      <c r="AI18" s="616"/>
      <c r="AJ18" s="615"/>
      <c r="AK18" s="616"/>
      <c r="AL18" s="615"/>
      <c r="AM18" s="615"/>
      <c r="AN18" s="615"/>
      <c r="AO18" s="615"/>
      <c r="AP18" s="615"/>
      <c r="AQ18" s="615"/>
      <c r="AR18" s="615"/>
      <c r="AS18" s="615"/>
      <c r="AT18" s="615"/>
      <c r="AU18" s="615"/>
      <c r="AV18" s="615"/>
      <c r="AW18" s="615"/>
      <c r="AX18" s="615"/>
      <c r="AY18" s="615"/>
      <c r="AZ18" s="615"/>
      <c r="BA18" s="615"/>
      <c r="BB18" s="615"/>
      <c r="BC18" s="615"/>
      <c r="BD18" s="616"/>
      <c r="BE18" s="615"/>
      <c r="BF18" s="615"/>
      <c r="BG18" s="615"/>
      <c r="BH18" s="615"/>
      <c r="BI18" s="619">
        <f>AC18+AG18+AI18+AK18+BD18</f>
        <v>0</v>
      </c>
      <c r="BJ18" s="617">
        <f>U18</f>
        <v>0</v>
      </c>
      <c r="BK18" s="619">
        <f t="shared" ref="BK18:BK34" si="0">V18*10%</f>
        <v>0</v>
      </c>
      <c r="BL18" s="615"/>
      <c r="BM18" s="615"/>
      <c r="BN18" s="615"/>
      <c r="BO18" s="615"/>
      <c r="BP18" s="615"/>
      <c r="BQ18" s="619"/>
      <c r="BR18" s="615"/>
      <c r="BS18" s="615"/>
      <c r="BT18" s="619">
        <f>BK18+BM18+BO18+BQ18+BS18</f>
        <v>0</v>
      </c>
      <c r="BU18" s="619">
        <f>V18+BI18+BT18</f>
        <v>0</v>
      </c>
      <c r="BV18" s="620">
        <f>BU18*12</f>
        <v>0</v>
      </c>
    </row>
    <row r="19" spans="1:74" s="621" customFormat="1" ht="18.75">
      <c r="A19" s="611" t="s">
        <v>598</v>
      </c>
      <c r="B19" s="612"/>
      <c r="C19" s="612"/>
      <c r="D19" s="612"/>
      <c r="E19" s="612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2"/>
      <c r="Q19" s="612"/>
      <c r="R19" s="612"/>
      <c r="S19" s="612"/>
      <c r="T19" s="612"/>
      <c r="U19" s="613">
        <f t="shared" ref="U19:U34" si="1">B19+C19+D19+E19+F19+G19+H19+I19+J19+K19+L19+M19+N19+O19+P19+Q19+R19+S19+T19</f>
        <v>0</v>
      </c>
      <c r="V19" s="622"/>
      <c r="W19" s="612"/>
      <c r="X19" s="612"/>
      <c r="Y19" s="612"/>
      <c r="Z19" s="612"/>
      <c r="AA19" s="612"/>
      <c r="AB19" s="615"/>
      <c r="AC19" s="616"/>
      <c r="AD19" s="615"/>
      <c r="AE19" s="615"/>
      <c r="AF19" s="617"/>
      <c r="AG19" s="618"/>
      <c r="AH19" s="615"/>
      <c r="AI19" s="616"/>
      <c r="AJ19" s="615"/>
      <c r="AK19" s="616"/>
      <c r="AL19" s="615"/>
      <c r="AM19" s="615"/>
      <c r="AN19" s="615"/>
      <c r="AO19" s="615"/>
      <c r="AP19" s="615"/>
      <c r="AQ19" s="615"/>
      <c r="AR19" s="615"/>
      <c r="AS19" s="615"/>
      <c r="AT19" s="615"/>
      <c r="AU19" s="615"/>
      <c r="AV19" s="615"/>
      <c r="AW19" s="615"/>
      <c r="AX19" s="615"/>
      <c r="AY19" s="615"/>
      <c r="AZ19" s="615"/>
      <c r="BA19" s="615"/>
      <c r="BB19" s="615"/>
      <c r="BC19" s="615"/>
      <c r="BD19" s="616"/>
      <c r="BE19" s="615"/>
      <c r="BF19" s="615"/>
      <c r="BG19" s="615"/>
      <c r="BH19" s="615"/>
      <c r="BI19" s="619">
        <f t="shared" ref="BI19:BI33" si="2">AC19+AG19+AI19+AK19+BD19</f>
        <v>0</v>
      </c>
      <c r="BJ19" s="617">
        <f>U19</f>
        <v>0</v>
      </c>
      <c r="BK19" s="623">
        <f t="shared" si="0"/>
        <v>0</v>
      </c>
      <c r="BL19" s="615"/>
      <c r="BM19" s="615"/>
      <c r="BN19" s="615"/>
      <c r="BO19" s="615"/>
      <c r="BP19" s="615"/>
      <c r="BQ19" s="619"/>
      <c r="BR19" s="615"/>
      <c r="BS19" s="615"/>
      <c r="BT19" s="619">
        <f t="shared" ref="BT19:BT34" si="3">BK19+BM19+BO19+BQ19+BS19</f>
        <v>0</v>
      </c>
      <c r="BU19" s="619">
        <f t="shared" ref="BU19:BU34" si="4">V19+BI19+BT19</f>
        <v>0</v>
      </c>
      <c r="BV19" s="620">
        <f t="shared" ref="BV19:BV34" si="5">BU19*12</f>
        <v>0</v>
      </c>
    </row>
    <row r="20" spans="1:74" s="621" customFormat="1" ht="16.5">
      <c r="A20" s="624" t="s">
        <v>599</v>
      </c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612"/>
      <c r="O20" s="612"/>
      <c r="P20" s="612"/>
      <c r="Q20" s="612"/>
      <c r="R20" s="612"/>
      <c r="S20" s="612"/>
      <c r="T20" s="612"/>
      <c r="U20" s="613">
        <f t="shared" si="1"/>
        <v>0</v>
      </c>
      <c r="V20" s="622"/>
      <c r="W20" s="612"/>
      <c r="X20" s="612"/>
      <c r="Y20" s="612"/>
      <c r="Z20" s="612"/>
      <c r="AA20" s="612"/>
      <c r="AB20" s="615"/>
      <c r="AC20" s="616"/>
      <c r="AD20" s="615"/>
      <c r="AE20" s="615"/>
      <c r="AF20" s="617"/>
      <c r="AG20" s="619"/>
      <c r="AH20" s="615"/>
      <c r="AI20" s="616"/>
      <c r="AJ20" s="615"/>
      <c r="AK20" s="616"/>
      <c r="AL20" s="615"/>
      <c r="AM20" s="615"/>
      <c r="AN20" s="615"/>
      <c r="AO20" s="615"/>
      <c r="AP20" s="615"/>
      <c r="AQ20" s="615"/>
      <c r="AR20" s="615"/>
      <c r="AS20" s="615"/>
      <c r="AT20" s="615"/>
      <c r="AU20" s="615"/>
      <c r="AV20" s="615"/>
      <c r="AW20" s="615"/>
      <c r="AX20" s="615"/>
      <c r="AY20" s="615"/>
      <c r="AZ20" s="615"/>
      <c r="BA20" s="615"/>
      <c r="BB20" s="615"/>
      <c r="BC20" s="615"/>
      <c r="BD20" s="616"/>
      <c r="BE20" s="615"/>
      <c r="BF20" s="615"/>
      <c r="BG20" s="615"/>
      <c r="BH20" s="615"/>
      <c r="BI20" s="619">
        <f t="shared" si="2"/>
        <v>0</v>
      </c>
      <c r="BJ20" s="617">
        <f>U20:U21</f>
        <v>0</v>
      </c>
      <c r="BK20" s="623">
        <f t="shared" si="0"/>
        <v>0</v>
      </c>
      <c r="BL20" s="615"/>
      <c r="BM20" s="615"/>
      <c r="BN20" s="615"/>
      <c r="BO20" s="615"/>
      <c r="BP20" s="615"/>
      <c r="BQ20" s="619"/>
      <c r="BR20" s="615"/>
      <c r="BS20" s="615"/>
      <c r="BT20" s="619">
        <f t="shared" si="3"/>
        <v>0</v>
      </c>
      <c r="BU20" s="619">
        <f t="shared" si="4"/>
        <v>0</v>
      </c>
      <c r="BV20" s="620">
        <f t="shared" si="5"/>
        <v>0</v>
      </c>
    </row>
    <row r="21" spans="1:74" s="621" customFormat="1" ht="16.5">
      <c r="A21" s="611" t="s">
        <v>600</v>
      </c>
      <c r="B21" s="612"/>
      <c r="C21" s="612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2"/>
      <c r="U21" s="613">
        <f t="shared" si="1"/>
        <v>0</v>
      </c>
      <c r="V21" s="622"/>
      <c r="W21" s="612"/>
      <c r="X21" s="612"/>
      <c r="Y21" s="612"/>
      <c r="Z21" s="612"/>
      <c r="AA21" s="612"/>
      <c r="AB21" s="615"/>
      <c r="AC21" s="616"/>
      <c r="AD21" s="615"/>
      <c r="AE21" s="615"/>
      <c r="AF21" s="617"/>
      <c r="AG21" s="619"/>
      <c r="AH21" s="615"/>
      <c r="AI21" s="616"/>
      <c r="AJ21" s="615"/>
      <c r="AK21" s="616"/>
      <c r="AL21" s="615"/>
      <c r="AM21" s="615"/>
      <c r="AN21" s="615"/>
      <c r="AO21" s="615"/>
      <c r="AP21" s="615"/>
      <c r="AQ21" s="615"/>
      <c r="AR21" s="615"/>
      <c r="AS21" s="615"/>
      <c r="AT21" s="615"/>
      <c r="AU21" s="615"/>
      <c r="AV21" s="615"/>
      <c r="AW21" s="615"/>
      <c r="AX21" s="615"/>
      <c r="AY21" s="615"/>
      <c r="AZ21" s="615"/>
      <c r="BA21" s="615"/>
      <c r="BB21" s="615"/>
      <c r="BC21" s="615"/>
      <c r="BD21" s="616"/>
      <c r="BE21" s="615"/>
      <c r="BF21" s="615"/>
      <c r="BG21" s="615"/>
      <c r="BH21" s="615"/>
      <c r="BI21" s="619">
        <f t="shared" si="2"/>
        <v>0</v>
      </c>
      <c r="BJ21" s="617">
        <f t="shared" ref="BJ21:BJ34" si="6">U21</f>
        <v>0</v>
      </c>
      <c r="BK21" s="623">
        <f t="shared" si="0"/>
        <v>0</v>
      </c>
      <c r="BL21" s="615"/>
      <c r="BM21" s="615"/>
      <c r="BN21" s="615"/>
      <c r="BO21" s="615"/>
      <c r="BP21" s="615"/>
      <c r="BQ21" s="619"/>
      <c r="BR21" s="615"/>
      <c r="BS21" s="615"/>
      <c r="BT21" s="619">
        <f t="shared" si="3"/>
        <v>0</v>
      </c>
      <c r="BU21" s="619">
        <f t="shared" si="4"/>
        <v>0</v>
      </c>
      <c r="BV21" s="620">
        <f t="shared" si="5"/>
        <v>0</v>
      </c>
    </row>
    <row r="22" spans="1:74" s="621" customFormat="1" ht="16.5">
      <c r="A22" s="625" t="s">
        <v>99</v>
      </c>
      <c r="B22" s="612"/>
      <c r="C22" s="612"/>
      <c r="D22" s="612"/>
      <c r="E22" s="612"/>
      <c r="F22" s="612"/>
      <c r="G22" s="626"/>
      <c r="H22" s="626"/>
      <c r="I22" s="626"/>
      <c r="J22" s="612"/>
      <c r="K22" s="612"/>
      <c r="L22" s="612"/>
      <c r="M22" s="612"/>
      <c r="N22" s="612"/>
      <c r="O22" s="612"/>
      <c r="P22" s="612"/>
      <c r="Q22" s="612"/>
      <c r="R22" s="612"/>
      <c r="S22" s="612"/>
      <c r="T22" s="612"/>
      <c r="U22" s="613">
        <f>B22+C22+D22+E22+F22+G22+H22+I22+J22+K22+L22+M22+N22+O22+P22+Q22+R22+S22+T22</f>
        <v>0</v>
      </c>
      <c r="V22" s="622"/>
      <c r="W22" s="612"/>
      <c r="X22" s="612"/>
      <c r="Y22" s="612"/>
      <c r="Z22" s="612"/>
      <c r="AA22" s="612"/>
      <c r="AB22" s="615"/>
      <c r="AC22" s="616"/>
      <c r="AD22" s="615"/>
      <c r="AE22" s="615"/>
      <c r="AF22" s="617"/>
      <c r="AG22" s="619"/>
      <c r="AH22" s="615"/>
      <c r="AI22" s="616"/>
      <c r="AJ22" s="615"/>
      <c r="AK22" s="616"/>
      <c r="AL22" s="615"/>
      <c r="AM22" s="615"/>
      <c r="AN22" s="615"/>
      <c r="AO22" s="615"/>
      <c r="AP22" s="615"/>
      <c r="AQ22" s="615"/>
      <c r="AR22" s="615"/>
      <c r="AS22" s="615"/>
      <c r="AT22" s="615"/>
      <c r="AU22" s="615"/>
      <c r="AV22" s="615"/>
      <c r="AW22" s="615"/>
      <c r="AX22" s="615"/>
      <c r="AY22" s="615"/>
      <c r="AZ22" s="615"/>
      <c r="BA22" s="615"/>
      <c r="BB22" s="615"/>
      <c r="BC22" s="615"/>
      <c r="BD22" s="616"/>
      <c r="BE22" s="615"/>
      <c r="BF22" s="615"/>
      <c r="BG22" s="615"/>
      <c r="BH22" s="615"/>
      <c r="BI22" s="619">
        <f t="shared" si="2"/>
        <v>0</v>
      </c>
      <c r="BJ22" s="617">
        <f t="shared" si="6"/>
        <v>0</v>
      </c>
      <c r="BK22" s="623">
        <f t="shared" si="0"/>
        <v>0</v>
      </c>
      <c r="BL22" s="615"/>
      <c r="BM22" s="615"/>
      <c r="BN22" s="615"/>
      <c r="BO22" s="615"/>
      <c r="BP22" s="615"/>
      <c r="BQ22" s="619"/>
      <c r="BR22" s="615"/>
      <c r="BS22" s="615"/>
      <c r="BT22" s="619">
        <f t="shared" si="3"/>
        <v>0</v>
      </c>
      <c r="BU22" s="619">
        <f t="shared" si="4"/>
        <v>0</v>
      </c>
      <c r="BV22" s="620">
        <f t="shared" si="5"/>
        <v>0</v>
      </c>
    </row>
    <row r="23" spans="1:74" s="621" customFormat="1" ht="16.5">
      <c r="A23" s="624" t="s">
        <v>151</v>
      </c>
      <c r="B23" s="612"/>
      <c r="C23" s="612"/>
      <c r="D23" s="612"/>
      <c r="E23" s="612"/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3">
        <f>B23+C23+D23+E23+F23+G23+H23+I23+J23+K23+L23+M23+N23+O23+P23+Q23+R23+S23+T23</f>
        <v>0</v>
      </c>
      <c r="V23" s="622"/>
      <c r="W23" s="612"/>
      <c r="X23" s="612"/>
      <c r="Y23" s="612"/>
      <c r="Z23" s="612"/>
      <c r="AA23" s="612"/>
      <c r="AB23" s="615"/>
      <c r="AC23" s="616"/>
      <c r="AD23" s="615"/>
      <c r="AE23" s="615"/>
      <c r="AF23" s="617"/>
      <c r="AG23" s="619"/>
      <c r="AH23" s="615"/>
      <c r="AI23" s="616"/>
      <c r="AJ23" s="615"/>
      <c r="AK23" s="616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6"/>
      <c r="BE23" s="615"/>
      <c r="BF23" s="615"/>
      <c r="BG23" s="615"/>
      <c r="BH23" s="615"/>
      <c r="BI23" s="619">
        <f t="shared" si="2"/>
        <v>0</v>
      </c>
      <c r="BJ23" s="617">
        <f t="shared" si="6"/>
        <v>0</v>
      </c>
      <c r="BK23" s="623">
        <f t="shared" si="0"/>
        <v>0</v>
      </c>
      <c r="BL23" s="615"/>
      <c r="BM23" s="615"/>
      <c r="BN23" s="615"/>
      <c r="BO23" s="615"/>
      <c r="BP23" s="615"/>
      <c r="BQ23" s="619"/>
      <c r="BR23" s="615"/>
      <c r="BS23" s="615"/>
      <c r="BT23" s="619">
        <f t="shared" si="3"/>
        <v>0</v>
      </c>
      <c r="BU23" s="619">
        <f t="shared" si="4"/>
        <v>0</v>
      </c>
      <c r="BV23" s="620">
        <f t="shared" si="5"/>
        <v>0</v>
      </c>
    </row>
    <row r="24" spans="1:74" s="621" customFormat="1" ht="16.5">
      <c r="A24" s="624" t="s">
        <v>153</v>
      </c>
      <c r="B24" s="612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2"/>
      <c r="T24" s="612"/>
      <c r="U24" s="613">
        <f t="shared" si="1"/>
        <v>0</v>
      </c>
      <c r="V24" s="622"/>
      <c r="W24" s="612"/>
      <c r="X24" s="612"/>
      <c r="Y24" s="612"/>
      <c r="Z24" s="612"/>
      <c r="AA24" s="612"/>
      <c r="AB24" s="615"/>
      <c r="AC24" s="616"/>
      <c r="AD24" s="615"/>
      <c r="AE24" s="615"/>
      <c r="AF24" s="617"/>
      <c r="AG24" s="619"/>
      <c r="AH24" s="615"/>
      <c r="AI24" s="616"/>
      <c r="AJ24" s="615"/>
      <c r="AK24" s="616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615"/>
      <c r="AW24" s="615"/>
      <c r="AX24" s="615"/>
      <c r="AY24" s="615"/>
      <c r="AZ24" s="615"/>
      <c r="BA24" s="615"/>
      <c r="BB24" s="615"/>
      <c r="BC24" s="615"/>
      <c r="BD24" s="616"/>
      <c r="BE24" s="615"/>
      <c r="BF24" s="615"/>
      <c r="BG24" s="615"/>
      <c r="BH24" s="615"/>
      <c r="BI24" s="619">
        <f t="shared" si="2"/>
        <v>0</v>
      </c>
      <c r="BJ24" s="617">
        <f t="shared" si="6"/>
        <v>0</v>
      </c>
      <c r="BK24" s="623">
        <f t="shared" si="0"/>
        <v>0</v>
      </c>
      <c r="BL24" s="615"/>
      <c r="BM24" s="615"/>
      <c r="BN24" s="615"/>
      <c r="BO24" s="615"/>
      <c r="BP24" s="615"/>
      <c r="BQ24" s="619"/>
      <c r="BR24" s="615"/>
      <c r="BS24" s="615"/>
      <c r="BT24" s="619">
        <f t="shared" si="3"/>
        <v>0</v>
      </c>
      <c r="BU24" s="619">
        <f t="shared" si="4"/>
        <v>0</v>
      </c>
      <c r="BV24" s="620">
        <f t="shared" si="5"/>
        <v>0</v>
      </c>
    </row>
    <row r="25" spans="1:74" s="621" customFormat="1" ht="16.5">
      <c r="A25" s="627" t="s">
        <v>91</v>
      </c>
      <c r="B25" s="612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2"/>
      <c r="Q25" s="612"/>
      <c r="R25" s="612"/>
      <c r="S25" s="612"/>
      <c r="T25" s="612"/>
      <c r="U25" s="613">
        <f>B25+C25+D25+E25+F25+G25+H25+I25+J25+K25+L25+M25+N25+O25+P25+Q25+R25+S25+T25</f>
        <v>0</v>
      </c>
      <c r="V25" s="622"/>
      <c r="W25" s="612"/>
      <c r="X25" s="612"/>
      <c r="Y25" s="612"/>
      <c r="Z25" s="612"/>
      <c r="AA25" s="612"/>
      <c r="AB25" s="615"/>
      <c r="AC25" s="620"/>
      <c r="AD25" s="615"/>
      <c r="AE25" s="615"/>
      <c r="AF25" s="617"/>
      <c r="AG25" s="619"/>
      <c r="AH25" s="615"/>
      <c r="AI25" s="616"/>
      <c r="AJ25" s="615"/>
      <c r="AK25" s="616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6"/>
      <c r="BE25" s="615"/>
      <c r="BF25" s="615"/>
      <c r="BG25" s="615"/>
      <c r="BH25" s="615"/>
      <c r="BI25" s="619">
        <f t="shared" si="2"/>
        <v>0</v>
      </c>
      <c r="BJ25" s="617">
        <f t="shared" si="6"/>
        <v>0</v>
      </c>
      <c r="BK25" s="623">
        <f t="shared" si="0"/>
        <v>0</v>
      </c>
      <c r="BL25" s="615"/>
      <c r="BM25" s="615"/>
      <c r="BN25" s="615"/>
      <c r="BO25" s="615"/>
      <c r="BP25" s="615"/>
      <c r="BQ25" s="619"/>
      <c r="BR25" s="615"/>
      <c r="BS25" s="615"/>
      <c r="BT25" s="619">
        <f t="shared" si="3"/>
        <v>0</v>
      </c>
      <c r="BU25" s="619">
        <f t="shared" si="4"/>
        <v>0</v>
      </c>
      <c r="BV25" s="620">
        <f t="shared" si="5"/>
        <v>0</v>
      </c>
    </row>
    <row r="26" spans="1:74" s="621" customFormat="1" ht="16.5">
      <c r="A26" s="611" t="s">
        <v>601</v>
      </c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3">
        <f t="shared" si="1"/>
        <v>0</v>
      </c>
      <c r="V26" s="622"/>
      <c r="W26" s="612"/>
      <c r="X26" s="612"/>
      <c r="Y26" s="612"/>
      <c r="Z26" s="612"/>
      <c r="AA26" s="612"/>
      <c r="AB26" s="615"/>
      <c r="AC26" s="616"/>
      <c r="AD26" s="615"/>
      <c r="AE26" s="615"/>
      <c r="AF26" s="617"/>
      <c r="AG26" s="619"/>
      <c r="AH26" s="615"/>
      <c r="AI26" s="616"/>
      <c r="AJ26" s="615"/>
      <c r="AK26" s="616"/>
      <c r="AL26" s="615"/>
      <c r="AM26" s="615"/>
      <c r="AN26" s="615"/>
      <c r="AO26" s="615"/>
      <c r="AP26" s="615"/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  <c r="BB26" s="615"/>
      <c r="BC26" s="615"/>
      <c r="BD26" s="616"/>
      <c r="BE26" s="615"/>
      <c r="BF26" s="615"/>
      <c r="BG26" s="615"/>
      <c r="BH26" s="615"/>
      <c r="BI26" s="619">
        <f t="shared" si="2"/>
        <v>0</v>
      </c>
      <c r="BJ26" s="617">
        <f t="shared" si="6"/>
        <v>0</v>
      </c>
      <c r="BK26" s="623">
        <f t="shared" si="0"/>
        <v>0</v>
      </c>
      <c r="BL26" s="615"/>
      <c r="BM26" s="615"/>
      <c r="BN26" s="615"/>
      <c r="BO26" s="615"/>
      <c r="BP26" s="615"/>
      <c r="BQ26" s="619"/>
      <c r="BR26" s="615"/>
      <c r="BS26" s="615"/>
      <c r="BT26" s="619">
        <f t="shared" si="3"/>
        <v>0</v>
      </c>
      <c r="BU26" s="619">
        <f t="shared" si="4"/>
        <v>0</v>
      </c>
      <c r="BV26" s="620">
        <f t="shared" si="5"/>
        <v>0</v>
      </c>
    </row>
    <row r="27" spans="1:74" s="621" customFormat="1" ht="16.5">
      <c r="A27" s="611" t="s">
        <v>602</v>
      </c>
      <c r="B27" s="612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2"/>
      <c r="Q27" s="612"/>
      <c r="R27" s="612"/>
      <c r="S27" s="612"/>
      <c r="T27" s="612"/>
      <c r="U27" s="613">
        <f t="shared" si="1"/>
        <v>0</v>
      </c>
      <c r="V27" s="622"/>
      <c r="W27" s="612"/>
      <c r="X27" s="612"/>
      <c r="Y27" s="612"/>
      <c r="Z27" s="612"/>
      <c r="AA27" s="612"/>
      <c r="AB27" s="615"/>
      <c r="AC27" s="616"/>
      <c r="AD27" s="615"/>
      <c r="AE27" s="615"/>
      <c r="AF27" s="617"/>
      <c r="AG27" s="619"/>
      <c r="AH27" s="615"/>
      <c r="AI27" s="616"/>
      <c r="AJ27" s="615"/>
      <c r="AK27" s="616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6"/>
      <c r="BE27" s="615"/>
      <c r="BF27" s="615"/>
      <c r="BG27" s="615"/>
      <c r="BH27" s="615"/>
      <c r="BI27" s="619">
        <f t="shared" si="2"/>
        <v>0</v>
      </c>
      <c r="BJ27" s="617">
        <f t="shared" si="6"/>
        <v>0</v>
      </c>
      <c r="BK27" s="623">
        <f t="shared" si="0"/>
        <v>0</v>
      </c>
      <c r="BL27" s="615"/>
      <c r="BM27" s="615"/>
      <c r="BN27" s="615"/>
      <c r="BO27" s="615"/>
      <c r="BP27" s="615"/>
      <c r="BQ27" s="619"/>
      <c r="BR27" s="615"/>
      <c r="BS27" s="615"/>
      <c r="BT27" s="619">
        <f t="shared" si="3"/>
        <v>0</v>
      </c>
      <c r="BU27" s="619">
        <f t="shared" si="4"/>
        <v>0</v>
      </c>
      <c r="BV27" s="620">
        <f t="shared" si="5"/>
        <v>0</v>
      </c>
    </row>
    <row r="28" spans="1:74" s="621" customFormat="1" ht="16.5">
      <c r="A28" s="611" t="s">
        <v>603</v>
      </c>
      <c r="B28" s="612"/>
      <c r="C28" s="612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  <c r="Q28" s="612"/>
      <c r="R28" s="612"/>
      <c r="S28" s="612"/>
      <c r="T28" s="612"/>
      <c r="U28" s="613">
        <f t="shared" si="1"/>
        <v>0</v>
      </c>
      <c r="V28" s="622"/>
      <c r="W28" s="628" t="s">
        <v>27</v>
      </c>
      <c r="X28" s="612"/>
      <c r="Y28" s="612"/>
      <c r="Z28" s="612"/>
      <c r="AA28" s="612"/>
      <c r="AB28" s="615"/>
      <c r="AC28" s="616"/>
      <c r="AD28" s="615"/>
      <c r="AE28" s="615"/>
      <c r="AF28" s="617"/>
      <c r="AG28" s="619"/>
      <c r="AH28" s="615"/>
      <c r="AI28" s="616"/>
      <c r="AJ28" s="615"/>
      <c r="AK28" s="616"/>
      <c r="AL28" s="615"/>
      <c r="AM28" s="615"/>
      <c r="AN28" s="615"/>
      <c r="AO28" s="615"/>
      <c r="AP28" s="615"/>
      <c r="AQ28" s="615"/>
      <c r="AR28" s="615"/>
      <c r="AS28" s="615"/>
      <c r="AT28" s="615"/>
      <c r="AU28" s="615"/>
      <c r="AV28" s="615"/>
      <c r="AW28" s="615"/>
      <c r="AX28" s="615"/>
      <c r="AY28" s="615"/>
      <c r="AZ28" s="615"/>
      <c r="BA28" s="615"/>
      <c r="BB28" s="615"/>
      <c r="BC28" s="615"/>
      <c r="BD28" s="616"/>
      <c r="BE28" s="615"/>
      <c r="BF28" s="615"/>
      <c r="BG28" s="615"/>
      <c r="BH28" s="615"/>
      <c r="BI28" s="619">
        <f t="shared" si="2"/>
        <v>0</v>
      </c>
      <c r="BJ28" s="617">
        <f t="shared" si="6"/>
        <v>0</v>
      </c>
      <c r="BK28" s="623">
        <f t="shared" si="0"/>
        <v>0</v>
      </c>
      <c r="BL28" s="615"/>
      <c r="BM28" s="615"/>
      <c r="BN28" s="615"/>
      <c r="BO28" s="615"/>
      <c r="BP28" s="615"/>
      <c r="BQ28" s="619"/>
      <c r="BR28" s="615"/>
      <c r="BS28" s="615"/>
      <c r="BT28" s="619">
        <f t="shared" si="3"/>
        <v>0</v>
      </c>
      <c r="BU28" s="619">
        <f t="shared" si="4"/>
        <v>0</v>
      </c>
      <c r="BV28" s="620">
        <f t="shared" si="5"/>
        <v>0</v>
      </c>
    </row>
    <row r="29" spans="1:74" s="621" customFormat="1" ht="16.5">
      <c r="A29" s="611" t="s">
        <v>604</v>
      </c>
      <c r="B29" s="612"/>
      <c r="C29" s="612"/>
      <c r="D29" s="612"/>
      <c r="E29" s="612"/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2"/>
      <c r="Q29" s="612"/>
      <c r="R29" s="612"/>
      <c r="S29" s="612"/>
      <c r="T29" s="612"/>
      <c r="U29" s="613">
        <f t="shared" si="1"/>
        <v>0</v>
      </c>
      <c r="V29" s="622"/>
      <c r="W29" s="629"/>
      <c r="X29" s="612"/>
      <c r="Y29" s="612"/>
      <c r="Z29" s="612"/>
      <c r="AA29" s="612"/>
      <c r="AB29" s="615"/>
      <c r="AC29" s="616"/>
      <c r="AD29" s="615"/>
      <c r="AE29" s="615"/>
      <c r="AF29" s="617"/>
      <c r="AG29" s="619"/>
      <c r="AH29" s="615"/>
      <c r="AI29" s="616"/>
      <c r="AJ29" s="615"/>
      <c r="AK29" s="616"/>
      <c r="AL29" s="615"/>
      <c r="AM29" s="615"/>
      <c r="AN29" s="615"/>
      <c r="AO29" s="615"/>
      <c r="AP29" s="615"/>
      <c r="AQ29" s="615"/>
      <c r="AR29" s="615"/>
      <c r="AS29" s="615"/>
      <c r="AT29" s="615"/>
      <c r="AU29" s="615"/>
      <c r="AV29" s="615"/>
      <c r="AW29" s="615"/>
      <c r="AX29" s="615"/>
      <c r="AY29" s="615"/>
      <c r="AZ29" s="615"/>
      <c r="BA29" s="615"/>
      <c r="BB29" s="615"/>
      <c r="BC29" s="615"/>
      <c r="BD29" s="616"/>
      <c r="BE29" s="615"/>
      <c r="BF29" s="615"/>
      <c r="BG29" s="615"/>
      <c r="BH29" s="615"/>
      <c r="BI29" s="619">
        <f t="shared" si="2"/>
        <v>0</v>
      </c>
      <c r="BJ29" s="617">
        <f t="shared" si="6"/>
        <v>0</v>
      </c>
      <c r="BK29" s="623">
        <f t="shared" si="0"/>
        <v>0</v>
      </c>
      <c r="BL29" s="615"/>
      <c r="BM29" s="615"/>
      <c r="BN29" s="615"/>
      <c r="BO29" s="615"/>
      <c r="BP29" s="615"/>
      <c r="BQ29" s="619"/>
      <c r="BR29" s="615"/>
      <c r="BS29" s="615"/>
      <c r="BT29" s="619">
        <f t="shared" si="3"/>
        <v>0</v>
      </c>
      <c r="BU29" s="619">
        <f t="shared" si="4"/>
        <v>0</v>
      </c>
      <c r="BV29" s="620">
        <f t="shared" si="5"/>
        <v>0</v>
      </c>
    </row>
    <row r="30" spans="1:74" s="621" customFormat="1" ht="16.5">
      <c r="A30" s="611" t="s">
        <v>605</v>
      </c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3">
        <f t="shared" si="1"/>
        <v>0</v>
      </c>
      <c r="V30" s="622"/>
      <c r="W30" s="629" t="s">
        <v>27</v>
      </c>
      <c r="X30" s="612"/>
      <c r="Y30" s="612"/>
      <c r="Z30" s="612"/>
      <c r="AA30" s="612"/>
      <c r="AB30" s="615"/>
      <c r="AC30" s="616"/>
      <c r="AD30" s="615"/>
      <c r="AE30" s="615"/>
      <c r="AF30" s="617"/>
      <c r="AG30" s="619"/>
      <c r="AH30" s="615"/>
      <c r="AI30" s="616"/>
      <c r="AJ30" s="615"/>
      <c r="AK30" s="616"/>
      <c r="AL30" s="615"/>
      <c r="AM30" s="615"/>
      <c r="AN30" s="615"/>
      <c r="AO30" s="615"/>
      <c r="AP30" s="615"/>
      <c r="AQ30" s="615"/>
      <c r="AR30" s="615"/>
      <c r="AS30" s="615"/>
      <c r="AT30" s="615"/>
      <c r="AU30" s="615"/>
      <c r="AV30" s="615"/>
      <c r="AW30" s="615"/>
      <c r="AX30" s="615"/>
      <c r="AY30" s="615"/>
      <c r="AZ30" s="615"/>
      <c r="BA30" s="615"/>
      <c r="BB30" s="615"/>
      <c r="BC30" s="615"/>
      <c r="BD30" s="616"/>
      <c r="BE30" s="615"/>
      <c r="BF30" s="615"/>
      <c r="BG30" s="615"/>
      <c r="BH30" s="615"/>
      <c r="BI30" s="619">
        <f t="shared" si="2"/>
        <v>0</v>
      </c>
      <c r="BJ30" s="617">
        <f t="shared" si="6"/>
        <v>0</v>
      </c>
      <c r="BK30" s="623">
        <f t="shared" si="0"/>
        <v>0</v>
      </c>
      <c r="BL30" s="615"/>
      <c r="BM30" s="615"/>
      <c r="BN30" s="615"/>
      <c r="BO30" s="615"/>
      <c r="BP30" s="615"/>
      <c r="BQ30" s="619"/>
      <c r="BR30" s="615"/>
      <c r="BS30" s="615"/>
      <c r="BT30" s="619">
        <f t="shared" si="3"/>
        <v>0</v>
      </c>
      <c r="BU30" s="619">
        <f t="shared" si="4"/>
        <v>0</v>
      </c>
      <c r="BV30" s="620">
        <f t="shared" si="5"/>
        <v>0</v>
      </c>
    </row>
    <row r="31" spans="1:74" s="621" customFormat="1" ht="16.5">
      <c r="A31" s="624" t="s">
        <v>171</v>
      </c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3">
        <f t="shared" si="1"/>
        <v>0</v>
      </c>
      <c r="V31" s="622"/>
      <c r="W31" s="612"/>
      <c r="X31" s="612"/>
      <c r="Y31" s="612"/>
      <c r="Z31" s="612"/>
      <c r="AA31" s="612"/>
      <c r="AB31" s="615"/>
      <c r="AC31" s="616"/>
      <c r="AD31" s="615"/>
      <c r="AE31" s="615"/>
      <c r="AF31" s="617"/>
      <c r="AG31" s="619"/>
      <c r="AH31" s="615"/>
      <c r="AI31" s="616"/>
      <c r="AJ31" s="615"/>
      <c r="AK31" s="616"/>
      <c r="AL31" s="615"/>
      <c r="AM31" s="615"/>
      <c r="AN31" s="615"/>
      <c r="AO31" s="615"/>
      <c r="AP31" s="615"/>
      <c r="AQ31" s="615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  <c r="BB31" s="615"/>
      <c r="BC31" s="615"/>
      <c r="BD31" s="616"/>
      <c r="BE31" s="615"/>
      <c r="BF31" s="615"/>
      <c r="BG31" s="615"/>
      <c r="BH31" s="615"/>
      <c r="BI31" s="619">
        <f t="shared" si="2"/>
        <v>0</v>
      </c>
      <c r="BJ31" s="617">
        <f t="shared" si="6"/>
        <v>0</v>
      </c>
      <c r="BK31" s="623">
        <f t="shared" si="0"/>
        <v>0</v>
      </c>
      <c r="BL31" s="615"/>
      <c r="BM31" s="615"/>
      <c r="BN31" s="615"/>
      <c r="BO31" s="615"/>
      <c r="BP31" s="615"/>
      <c r="BQ31" s="619"/>
      <c r="BR31" s="615"/>
      <c r="BS31" s="615"/>
      <c r="BT31" s="619">
        <f t="shared" si="3"/>
        <v>0</v>
      </c>
      <c r="BU31" s="619">
        <f t="shared" si="4"/>
        <v>0</v>
      </c>
      <c r="BV31" s="620">
        <f t="shared" si="5"/>
        <v>0</v>
      </c>
    </row>
    <row r="32" spans="1:74" s="621" customFormat="1" ht="16.5">
      <c r="A32" s="611" t="s">
        <v>73</v>
      </c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3">
        <f t="shared" si="1"/>
        <v>0</v>
      </c>
      <c r="V32" s="622"/>
      <c r="W32" s="612"/>
      <c r="X32" s="612"/>
      <c r="Y32" s="612"/>
      <c r="Z32" s="612"/>
      <c r="AA32" s="612"/>
      <c r="AB32" s="615"/>
      <c r="AC32" s="616"/>
      <c r="AD32" s="615"/>
      <c r="AE32" s="615"/>
      <c r="AF32" s="617"/>
      <c r="AG32" s="619"/>
      <c r="AH32" s="615"/>
      <c r="AI32" s="619"/>
      <c r="AJ32" s="615"/>
      <c r="AK32" s="619"/>
      <c r="AL32" s="615"/>
      <c r="AM32" s="615"/>
      <c r="AN32" s="615"/>
      <c r="AO32" s="615"/>
      <c r="AP32" s="615"/>
      <c r="AQ32" s="615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  <c r="BB32" s="615"/>
      <c r="BC32" s="615"/>
      <c r="BD32" s="616"/>
      <c r="BE32" s="615"/>
      <c r="BF32" s="615"/>
      <c r="BG32" s="615"/>
      <c r="BH32" s="615"/>
      <c r="BI32" s="619">
        <f t="shared" si="2"/>
        <v>0</v>
      </c>
      <c r="BJ32" s="617">
        <f t="shared" si="6"/>
        <v>0</v>
      </c>
      <c r="BK32" s="623">
        <f t="shared" si="0"/>
        <v>0</v>
      </c>
      <c r="BL32" s="615"/>
      <c r="BM32" s="615"/>
      <c r="BN32" s="615"/>
      <c r="BO32" s="615"/>
      <c r="BP32" s="615"/>
      <c r="BQ32" s="619"/>
      <c r="BR32" s="615"/>
      <c r="BS32" s="615"/>
      <c r="BT32" s="619">
        <f t="shared" si="3"/>
        <v>0</v>
      </c>
      <c r="BU32" s="619">
        <f t="shared" si="4"/>
        <v>0</v>
      </c>
      <c r="BV32" s="620">
        <f t="shared" si="5"/>
        <v>0</v>
      </c>
    </row>
    <row r="33" spans="1:74" s="621" customFormat="1" ht="16.5">
      <c r="A33" s="624" t="s">
        <v>173</v>
      </c>
      <c r="B33" s="612"/>
      <c r="C33" s="612"/>
      <c r="D33" s="612"/>
      <c r="E33" s="612"/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3">
        <f t="shared" si="1"/>
        <v>0</v>
      </c>
      <c r="V33" s="622"/>
      <c r="W33" s="612"/>
      <c r="X33" s="612"/>
      <c r="Y33" s="612"/>
      <c r="Z33" s="612"/>
      <c r="AA33" s="612"/>
      <c r="AB33" s="615"/>
      <c r="AC33" s="616"/>
      <c r="AD33" s="615"/>
      <c r="AE33" s="615"/>
      <c r="AF33" s="617"/>
      <c r="AG33" s="619"/>
      <c r="AH33" s="615"/>
      <c r="AI33" s="619"/>
      <c r="AJ33" s="615"/>
      <c r="AK33" s="619"/>
      <c r="AL33" s="615"/>
      <c r="AM33" s="615"/>
      <c r="AN33" s="615"/>
      <c r="AO33" s="615"/>
      <c r="AP33" s="615"/>
      <c r="AQ33" s="615"/>
      <c r="AR33" s="615"/>
      <c r="AS33" s="615"/>
      <c r="AT33" s="615"/>
      <c r="AU33" s="615"/>
      <c r="AV33" s="615"/>
      <c r="AW33" s="615"/>
      <c r="AX33" s="615"/>
      <c r="AY33" s="615"/>
      <c r="AZ33" s="615"/>
      <c r="BA33" s="615"/>
      <c r="BB33" s="615"/>
      <c r="BC33" s="615"/>
      <c r="BD33" s="616"/>
      <c r="BE33" s="615"/>
      <c r="BF33" s="615"/>
      <c r="BG33" s="615"/>
      <c r="BH33" s="615"/>
      <c r="BI33" s="619">
        <f t="shared" si="2"/>
        <v>0</v>
      </c>
      <c r="BJ33" s="617">
        <f t="shared" si="6"/>
        <v>0</v>
      </c>
      <c r="BK33" s="623">
        <f t="shared" si="0"/>
        <v>0</v>
      </c>
      <c r="BL33" s="615"/>
      <c r="BM33" s="615"/>
      <c r="BN33" s="615"/>
      <c r="BO33" s="615"/>
      <c r="BP33" s="615"/>
      <c r="BQ33" s="619"/>
      <c r="BR33" s="615"/>
      <c r="BS33" s="615"/>
      <c r="BT33" s="619">
        <f t="shared" si="3"/>
        <v>0</v>
      </c>
      <c r="BU33" s="619">
        <f t="shared" si="4"/>
        <v>0</v>
      </c>
      <c r="BV33" s="620">
        <f t="shared" si="5"/>
        <v>0</v>
      </c>
    </row>
    <row r="34" spans="1:74" s="621" customFormat="1" ht="16.5">
      <c r="A34" s="611" t="s">
        <v>82</v>
      </c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3">
        <f t="shared" si="1"/>
        <v>0</v>
      </c>
      <c r="V34" s="622"/>
      <c r="W34" s="612"/>
      <c r="X34" s="612"/>
      <c r="Y34" s="612"/>
      <c r="Z34" s="612"/>
      <c r="AA34" s="612"/>
      <c r="AB34" s="615"/>
      <c r="AC34" s="616"/>
      <c r="AD34" s="615"/>
      <c r="AE34" s="615"/>
      <c r="AF34" s="617"/>
      <c r="AG34" s="619"/>
      <c r="AH34" s="615"/>
      <c r="AI34" s="619"/>
      <c r="AJ34" s="615"/>
      <c r="AK34" s="619"/>
      <c r="AL34" s="615"/>
      <c r="AM34" s="615"/>
      <c r="AN34" s="615"/>
      <c r="AO34" s="615"/>
      <c r="AP34" s="615"/>
      <c r="AQ34" s="615"/>
      <c r="AR34" s="615"/>
      <c r="AS34" s="615"/>
      <c r="AT34" s="615"/>
      <c r="AU34" s="615"/>
      <c r="AV34" s="615"/>
      <c r="AW34" s="615"/>
      <c r="AX34" s="615"/>
      <c r="AY34" s="615"/>
      <c r="AZ34" s="615"/>
      <c r="BA34" s="615"/>
      <c r="BB34" s="615"/>
      <c r="BC34" s="615"/>
      <c r="BD34" s="616"/>
      <c r="BE34" s="615"/>
      <c r="BF34" s="615"/>
      <c r="BG34" s="615"/>
      <c r="BH34" s="615"/>
      <c r="BI34" s="619">
        <f>AC34+AG34+AI34+AK34+BD34</f>
        <v>0</v>
      </c>
      <c r="BJ34" s="617">
        <f t="shared" si="6"/>
        <v>0</v>
      </c>
      <c r="BK34" s="623">
        <f t="shared" si="0"/>
        <v>0</v>
      </c>
      <c r="BL34" s="615"/>
      <c r="BM34" s="615"/>
      <c r="BN34" s="615"/>
      <c r="BO34" s="615"/>
      <c r="BP34" s="615"/>
      <c r="BQ34" s="619"/>
      <c r="BR34" s="615"/>
      <c r="BS34" s="615"/>
      <c r="BT34" s="619">
        <f t="shared" si="3"/>
        <v>0</v>
      </c>
      <c r="BU34" s="619">
        <f t="shared" si="4"/>
        <v>0</v>
      </c>
      <c r="BV34" s="620">
        <f t="shared" si="5"/>
        <v>0</v>
      </c>
    </row>
    <row r="35" spans="1:74" s="621" customFormat="1" ht="16.5">
      <c r="A35" s="630" t="s">
        <v>478</v>
      </c>
      <c r="B35" s="631">
        <f>SUM(B18:B34)</f>
        <v>0</v>
      </c>
      <c r="C35" s="631">
        <f t="shared" ref="C35:V35" si="7">SUM(C18:C34)</f>
        <v>0</v>
      </c>
      <c r="D35" s="631">
        <f t="shared" si="7"/>
        <v>0</v>
      </c>
      <c r="E35" s="631">
        <f t="shared" si="7"/>
        <v>0</v>
      </c>
      <c r="F35" s="631">
        <f t="shared" si="7"/>
        <v>0</v>
      </c>
      <c r="G35" s="631">
        <f t="shared" si="7"/>
        <v>0</v>
      </c>
      <c r="H35" s="631">
        <f t="shared" si="7"/>
        <v>0</v>
      </c>
      <c r="I35" s="631">
        <f t="shared" si="7"/>
        <v>0</v>
      </c>
      <c r="J35" s="631">
        <f t="shared" si="7"/>
        <v>0</v>
      </c>
      <c r="K35" s="631">
        <f t="shared" si="7"/>
        <v>0</v>
      </c>
      <c r="L35" s="631">
        <f t="shared" si="7"/>
        <v>0</v>
      </c>
      <c r="M35" s="631">
        <f t="shared" si="7"/>
        <v>0</v>
      </c>
      <c r="N35" s="631">
        <f t="shared" si="7"/>
        <v>0</v>
      </c>
      <c r="O35" s="631">
        <f t="shared" si="7"/>
        <v>0</v>
      </c>
      <c r="P35" s="631">
        <f t="shared" si="7"/>
        <v>0</v>
      </c>
      <c r="Q35" s="631">
        <f t="shared" si="7"/>
        <v>0</v>
      </c>
      <c r="R35" s="631">
        <f t="shared" si="7"/>
        <v>0</v>
      </c>
      <c r="S35" s="631">
        <f t="shared" si="7"/>
        <v>0</v>
      </c>
      <c r="T35" s="631">
        <f t="shared" si="7"/>
        <v>0</v>
      </c>
      <c r="U35" s="631">
        <f t="shared" si="7"/>
        <v>0</v>
      </c>
      <c r="V35" s="631">
        <f t="shared" si="7"/>
        <v>0</v>
      </c>
      <c r="W35" s="612"/>
      <c r="X35" s="612"/>
      <c r="Y35" s="612"/>
      <c r="Z35" s="612"/>
      <c r="AA35" s="612"/>
      <c r="AB35" s="616">
        <f t="shared" ref="AB35:BH35" si="8">SUM(AB18:AB34)</f>
        <v>0</v>
      </c>
      <c r="AC35" s="616">
        <f t="shared" si="8"/>
        <v>0</v>
      </c>
      <c r="AD35" s="616">
        <f t="shared" si="8"/>
        <v>0</v>
      </c>
      <c r="AE35" s="616">
        <f t="shared" si="8"/>
        <v>0</v>
      </c>
      <c r="AF35" s="616">
        <f t="shared" si="8"/>
        <v>0</v>
      </c>
      <c r="AG35" s="616">
        <f t="shared" si="8"/>
        <v>0</v>
      </c>
      <c r="AH35" s="616">
        <f t="shared" si="8"/>
        <v>0</v>
      </c>
      <c r="AI35" s="616">
        <f t="shared" si="8"/>
        <v>0</v>
      </c>
      <c r="AJ35" s="616">
        <f t="shared" si="8"/>
        <v>0</v>
      </c>
      <c r="AK35" s="616">
        <f t="shared" si="8"/>
        <v>0</v>
      </c>
      <c r="AL35" s="616">
        <f t="shared" si="8"/>
        <v>0</v>
      </c>
      <c r="AM35" s="616">
        <f t="shared" si="8"/>
        <v>0</v>
      </c>
      <c r="AN35" s="616">
        <f t="shared" si="8"/>
        <v>0</v>
      </c>
      <c r="AO35" s="616">
        <f t="shared" si="8"/>
        <v>0</v>
      </c>
      <c r="AP35" s="616">
        <f t="shared" si="8"/>
        <v>0</v>
      </c>
      <c r="AQ35" s="616">
        <f t="shared" si="8"/>
        <v>0</v>
      </c>
      <c r="AR35" s="616">
        <f t="shared" si="8"/>
        <v>0</v>
      </c>
      <c r="AS35" s="616">
        <f t="shared" si="8"/>
        <v>0</v>
      </c>
      <c r="AT35" s="616">
        <f t="shared" si="8"/>
        <v>0</v>
      </c>
      <c r="AU35" s="616">
        <f t="shared" si="8"/>
        <v>0</v>
      </c>
      <c r="AV35" s="616">
        <f t="shared" si="8"/>
        <v>0</v>
      </c>
      <c r="AW35" s="616">
        <f t="shared" si="8"/>
        <v>0</v>
      </c>
      <c r="AX35" s="616">
        <f t="shared" si="8"/>
        <v>0</v>
      </c>
      <c r="AY35" s="616">
        <f t="shared" si="8"/>
        <v>0</v>
      </c>
      <c r="AZ35" s="616">
        <f t="shared" si="8"/>
        <v>0</v>
      </c>
      <c r="BA35" s="616">
        <f t="shared" si="8"/>
        <v>0</v>
      </c>
      <c r="BB35" s="616">
        <f t="shared" si="8"/>
        <v>0</v>
      </c>
      <c r="BC35" s="616">
        <f t="shared" si="8"/>
        <v>0</v>
      </c>
      <c r="BD35" s="616">
        <f t="shared" si="8"/>
        <v>0</v>
      </c>
      <c r="BE35" s="616">
        <f t="shared" si="8"/>
        <v>0</v>
      </c>
      <c r="BF35" s="616">
        <f t="shared" si="8"/>
        <v>0</v>
      </c>
      <c r="BG35" s="616">
        <f t="shared" si="8"/>
        <v>0</v>
      </c>
      <c r="BH35" s="616">
        <f t="shared" si="8"/>
        <v>0</v>
      </c>
      <c r="BI35" s="616">
        <f>SUM(BI18:BI34)</f>
        <v>0</v>
      </c>
      <c r="BJ35" s="616">
        <f t="shared" ref="BJ35:BS35" si="9">SUM(BJ18:BJ34)</f>
        <v>0</v>
      </c>
      <c r="BK35" s="616">
        <f t="shared" si="9"/>
        <v>0</v>
      </c>
      <c r="BL35" s="616">
        <f t="shared" si="9"/>
        <v>0</v>
      </c>
      <c r="BM35" s="616">
        <f t="shared" si="9"/>
        <v>0</v>
      </c>
      <c r="BN35" s="616">
        <f t="shared" si="9"/>
        <v>0</v>
      </c>
      <c r="BO35" s="616">
        <f t="shared" si="9"/>
        <v>0</v>
      </c>
      <c r="BP35" s="616">
        <f t="shared" si="9"/>
        <v>0</v>
      </c>
      <c r="BQ35" s="616">
        <f t="shared" si="9"/>
        <v>0</v>
      </c>
      <c r="BR35" s="616">
        <f t="shared" si="9"/>
        <v>0</v>
      </c>
      <c r="BS35" s="616">
        <f t="shared" si="9"/>
        <v>0</v>
      </c>
      <c r="BT35" s="616">
        <f>SUM(BT18:BT34)</f>
        <v>0</v>
      </c>
      <c r="BU35" s="616">
        <f>SUM(BU18:BU34)</f>
        <v>0</v>
      </c>
      <c r="BV35" s="616">
        <f>SUM(BV18:BV34)</f>
        <v>0</v>
      </c>
    </row>
    <row r="36" spans="1:74" ht="40.5" customHeight="1">
      <c r="A36" s="1593" t="s">
        <v>606</v>
      </c>
      <c r="B36" s="1593"/>
      <c r="C36" s="1593"/>
      <c r="D36" s="1593"/>
      <c r="E36" s="1593"/>
      <c r="F36" s="1593"/>
      <c r="G36" s="1593"/>
      <c r="H36" s="1593"/>
      <c r="I36" s="1593"/>
      <c r="J36" s="1593"/>
      <c r="K36" s="1593"/>
      <c r="L36" s="1593"/>
      <c r="M36" s="1593"/>
      <c r="N36" s="1593"/>
      <c r="O36" s="1593"/>
      <c r="P36" s="1593"/>
      <c r="Q36" s="1593"/>
      <c r="R36" s="1593"/>
      <c r="S36" s="1593"/>
      <c r="T36" s="1593"/>
      <c r="U36" s="1593"/>
      <c r="V36" s="1593"/>
      <c r="W36" s="632" t="s">
        <v>27</v>
      </c>
      <c r="AG36" s="636"/>
    </row>
    <row r="37" spans="1:74" ht="15.75" customHeight="1">
      <c r="A37" s="1594"/>
      <c r="B37" s="1594"/>
      <c r="C37" s="1594"/>
      <c r="D37" s="1594"/>
      <c r="E37" s="1594"/>
      <c r="F37" s="1594"/>
      <c r="G37" s="1594"/>
      <c r="H37" s="1594"/>
      <c r="I37" s="1594"/>
      <c r="J37" s="1594"/>
      <c r="K37" s="1594"/>
      <c r="L37" s="1594"/>
      <c r="M37" s="1594"/>
      <c r="N37" s="1594"/>
      <c r="O37" s="1594"/>
      <c r="P37" s="1594"/>
      <c r="Q37" s="1594"/>
      <c r="R37" s="1594"/>
      <c r="S37" s="1594"/>
      <c r="T37" s="1594"/>
      <c r="U37" s="1594"/>
      <c r="V37" s="1594"/>
      <c r="W37" s="637"/>
      <c r="X37" s="638"/>
      <c r="Y37" s="638"/>
      <c r="Z37" s="638"/>
      <c r="AA37" s="638"/>
      <c r="AB37" s="638"/>
      <c r="AC37" s="639" t="s">
        <v>607</v>
      </c>
      <c r="AD37" s="639"/>
      <c r="AE37" s="639"/>
      <c r="AF37" s="639"/>
      <c r="AG37" s="639"/>
      <c r="AH37" s="639"/>
      <c r="AI37" s="639"/>
      <c r="AJ37" s="639"/>
      <c r="AK37" s="639"/>
      <c r="AL37" s="639"/>
      <c r="AM37" s="639"/>
      <c r="AN37" s="639"/>
      <c r="AO37" s="639"/>
      <c r="AP37" s="639"/>
      <c r="AQ37" s="639"/>
      <c r="AR37" s="639"/>
      <c r="AS37" s="639"/>
      <c r="AT37" s="639"/>
      <c r="AU37" s="639"/>
      <c r="AV37" s="639"/>
      <c r="AW37" s="639"/>
      <c r="AX37" s="639"/>
      <c r="AY37" s="639"/>
      <c r="AZ37" s="639"/>
      <c r="BA37" s="639"/>
      <c r="BB37" s="639"/>
      <c r="BC37" s="639"/>
      <c r="BD37" s="639"/>
      <c r="BE37" s="639"/>
      <c r="BF37" s="639"/>
      <c r="BG37" s="639"/>
      <c r="BH37" s="639"/>
      <c r="BI37" s="639"/>
      <c r="BJ37" s="639"/>
      <c r="BK37" s="1595"/>
      <c r="BL37" s="1595"/>
      <c r="BM37" s="639"/>
      <c r="BN37" s="639"/>
      <c r="BO37" s="639"/>
      <c r="BP37" s="639"/>
      <c r="BQ37" s="639"/>
      <c r="BR37" s="639"/>
      <c r="BS37" s="639"/>
      <c r="BT37" s="639"/>
      <c r="BU37" s="639"/>
      <c r="BV37" s="639"/>
    </row>
    <row r="38" spans="1:74" ht="18.75">
      <c r="A38" s="1594"/>
      <c r="B38" s="1594"/>
      <c r="C38" s="1594"/>
      <c r="D38" s="1594"/>
      <c r="E38" s="1594"/>
      <c r="F38" s="1594"/>
      <c r="G38" s="1594"/>
      <c r="H38" s="1594"/>
      <c r="I38" s="1594"/>
      <c r="J38" s="1594"/>
      <c r="K38" s="1594"/>
      <c r="L38" s="1594"/>
      <c r="M38" s="1594"/>
      <c r="N38" s="1594"/>
      <c r="O38" s="1594"/>
      <c r="P38" s="1594"/>
      <c r="Q38" s="1594"/>
      <c r="R38" s="1594"/>
      <c r="S38" s="1594"/>
      <c r="T38" s="1594"/>
      <c r="U38" s="1594"/>
      <c r="V38" s="1594"/>
      <c r="W38" s="1596" t="s">
        <v>27</v>
      </c>
      <c r="X38" s="1597"/>
      <c r="Y38" s="1597"/>
      <c r="Z38" s="1597"/>
      <c r="AA38" s="1597"/>
      <c r="AB38" s="1597"/>
      <c r="AC38" s="1597"/>
      <c r="AD38" s="638"/>
      <c r="AE38" s="638"/>
      <c r="AF38" s="638"/>
      <c r="AG38" s="640"/>
      <c r="AH38" s="638"/>
      <c r="AI38" s="640"/>
      <c r="AJ38" s="638"/>
      <c r="AK38" s="640"/>
      <c r="AL38" s="638"/>
      <c r="AM38" s="638"/>
      <c r="AN38" s="638"/>
      <c r="AO38" s="638"/>
      <c r="AP38" s="638"/>
      <c r="AQ38" s="638"/>
      <c r="AR38" s="638"/>
      <c r="AS38" s="638"/>
      <c r="AT38" s="638"/>
      <c r="AU38" s="638"/>
      <c r="AV38" s="638"/>
      <c r="AW38" s="638"/>
      <c r="AX38" s="638"/>
      <c r="AY38" s="638"/>
      <c r="AZ38" s="638"/>
      <c r="BA38" s="638"/>
      <c r="BB38" s="638"/>
      <c r="BC38" s="638"/>
      <c r="BD38" s="640"/>
      <c r="BE38" s="638"/>
      <c r="BF38" s="638"/>
      <c r="BG38" s="638"/>
      <c r="BH38" s="638"/>
      <c r="BI38" s="640"/>
      <c r="BJ38" s="638"/>
      <c r="BK38" s="640"/>
      <c r="BL38" s="638"/>
      <c r="BM38" s="638"/>
      <c r="BN38" s="638"/>
      <c r="BO38" s="638"/>
      <c r="BP38" s="638"/>
      <c r="BQ38" s="641"/>
      <c r="BR38" s="642"/>
      <c r="BS38" s="642"/>
      <c r="BT38" s="641"/>
      <c r="BU38" s="641"/>
      <c r="BV38" s="641"/>
    </row>
    <row r="39" spans="1:74" ht="18.75">
      <c r="W39" s="638"/>
      <c r="X39" s="638"/>
      <c r="Y39" s="638"/>
      <c r="Z39" s="638"/>
      <c r="AA39" s="638"/>
      <c r="AB39" s="638"/>
      <c r="AC39" s="640"/>
      <c r="AD39" s="638"/>
      <c r="AE39" s="638"/>
      <c r="AF39" s="638"/>
      <c r="AG39" s="640"/>
      <c r="AH39" s="638"/>
      <c r="AI39" s="640"/>
      <c r="AJ39" s="638"/>
      <c r="AK39" s="640"/>
      <c r="AL39" s="638"/>
      <c r="AM39" s="638"/>
      <c r="AN39" s="638"/>
      <c r="AO39" s="638"/>
      <c r="AP39" s="638"/>
      <c r="AQ39" s="638"/>
      <c r="AR39" s="638"/>
      <c r="AS39" s="638"/>
      <c r="AT39" s="638"/>
      <c r="AU39" s="638"/>
      <c r="AV39" s="638"/>
      <c r="AW39" s="638"/>
      <c r="AX39" s="638"/>
      <c r="AY39" s="638"/>
      <c r="AZ39" s="638"/>
      <c r="BA39" s="638"/>
      <c r="BB39" s="638"/>
      <c r="BC39" s="638"/>
      <c r="BD39" s="640"/>
      <c r="BE39" s="638"/>
      <c r="BF39" s="638"/>
      <c r="BG39" s="638"/>
      <c r="BH39" s="638"/>
      <c r="BI39" s="640"/>
      <c r="BJ39" s="638"/>
      <c r="BK39" s="640"/>
      <c r="BL39" s="638"/>
      <c r="BM39" s="638"/>
      <c r="BN39" s="638"/>
      <c r="BO39" s="638"/>
      <c r="BP39" s="638"/>
      <c r="BQ39" s="641"/>
      <c r="BR39" s="642"/>
      <c r="BS39" s="642"/>
      <c r="BT39" s="641"/>
      <c r="BU39" s="641"/>
      <c r="BV39" s="641"/>
    </row>
    <row r="40" spans="1:74" ht="18.75">
      <c r="W40" s="638"/>
      <c r="X40" s="638"/>
      <c r="Y40" s="638"/>
      <c r="Z40" s="638"/>
      <c r="AA40" s="638"/>
      <c r="AB40" s="638"/>
      <c r="AC40" s="646" t="s">
        <v>608</v>
      </c>
      <c r="AD40" s="646"/>
      <c r="AE40" s="646"/>
      <c r="AF40" s="646"/>
      <c r="AG40" s="646"/>
      <c r="AH40" s="646"/>
      <c r="AI40" s="646"/>
      <c r="AJ40" s="646"/>
      <c r="AK40" s="646"/>
      <c r="AL40" s="646"/>
      <c r="AM40" s="646"/>
      <c r="AN40" s="646"/>
      <c r="AO40" s="646"/>
      <c r="AP40" s="646"/>
      <c r="AQ40" s="646"/>
      <c r="AR40" s="646"/>
      <c r="AS40" s="646"/>
      <c r="AT40" s="646"/>
      <c r="AU40" s="646"/>
      <c r="AV40" s="646"/>
      <c r="AW40" s="646"/>
      <c r="AX40" s="646"/>
      <c r="AY40" s="646"/>
      <c r="AZ40" s="646"/>
      <c r="BA40" s="646"/>
      <c r="BB40" s="646"/>
      <c r="BC40" s="646"/>
      <c r="BD40" s="646"/>
      <c r="BE40" s="646"/>
      <c r="BF40" s="646"/>
      <c r="BG40" s="646"/>
      <c r="BH40" s="646"/>
      <c r="BI40" s="646"/>
      <c r="BJ40" s="646"/>
      <c r="BK40" s="1592"/>
      <c r="BL40" s="1592"/>
      <c r="BM40" s="646"/>
      <c r="BN40" s="646"/>
      <c r="BO40" s="646"/>
      <c r="BP40" s="646"/>
      <c r="BQ40" s="646"/>
      <c r="BR40" s="646"/>
      <c r="BS40" s="646"/>
      <c r="BT40" s="646"/>
      <c r="BU40" s="646"/>
      <c r="BV40" s="646"/>
    </row>
    <row r="41" spans="1:74" ht="15.75">
      <c r="AC41" s="647"/>
      <c r="AD41" s="647"/>
      <c r="AE41" s="647"/>
      <c r="AF41" s="647"/>
      <c r="AG41" s="647"/>
      <c r="AH41" s="648"/>
      <c r="AI41" s="649"/>
      <c r="AJ41" s="649"/>
      <c r="AK41" s="649"/>
      <c r="AL41" s="649"/>
      <c r="AM41" s="649"/>
      <c r="AN41" s="649"/>
      <c r="AO41" s="649"/>
      <c r="AP41" s="649"/>
      <c r="AQ41" s="649"/>
      <c r="AR41" s="649"/>
      <c r="AS41" s="649"/>
      <c r="AT41" s="649"/>
      <c r="AU41" s="649"/>
      <c r="AV41" s="649"/>
      <c r="AW41" s="649"/>
      <c r="AX41" s="649"/>
      <c r="AY41" s="650"/>
    </row>
    <row r="43" spans="1:74" ht="54" customHeight="1"/>
    <row r="44" spans="1:74" ht="27" customHeight="1"/>
    <row r="48" spans="1:74">
      <c r="W48" s="632" t="s">
        <v>27</v>
      </c>
    </row>
    <row r="49" spans="23:23">
      <c r="W49" s="651"/>
    </row>
    <row r="61" spans="23:23" ht="309.75" customHeight="1"/>
    <row r="69" ht="108" customHeight="1"/>
  </sheetData>
  <mergeCells count="55">
    <mergeCell ref="BK40:BL40"/>
    <mergeCell ref="BN14:BO14"/>
    <mergeCell ref="BP14:BQ14"/>
    <mergeCell ref="BR14:BS14"/>
    <mergeCell ref="A36:V38"/>
    <mergeCell ref="BK37:BL37"/>
    <mergeCell ref="W38:AC38"/>
    <mergeCell ref="AR14:AR15"/>
    <mergeCell ref="AS14:AS15"/>
    <mergeCell ref="AT14:AT15"/>
    <mergeCell ref="AU14:AU15"/>
    <mergeCell ref="AV14:BA14"/>
    <mergeCell ref="BC14:BD14"/>
    <mergeCell ref="BE14:BF14"/>
    <mergeCell ref="BG14:BH14"/>
    <mergeCell ref="BJ14:BK14"/>
    <mergeCell ref="BU13:BU15"/>
    <mergeCell ref="BV13:BV15"/>
    <mergeCell ref="B14:I14"/>
    <mergeCell ref="J14:T14"/>
    <mergeCell ref="U14:U15"/>
    <mergeCell ref="Z14:AA14"/>
    <mergeCell ref="AB14:AC14"/>
    <mergeCell ref="AD14:AE14"/>
    <mergeCell ref="AF14:AG14"/>
    <mergeCell ref="AH14:AI14"/>
    <mergeCell ref="AT13:AU13"/>
    <mergeCell ref="AV13:BA13"/>
    <mergeCell ref="BB13:BH13"/>
    <mergeCell ref="BI13:BI15"/>
    <mergeCell ref="BJ13:BS13"/>
    <mergeCell ref="BT13:BT15"/>
    <mergeCell ref="BL14:BM14"/>
    <mergeCell ref="V13:V15"/>
    <mergeCell ref="W13:X14"/>
    <mergeCell ref="Y13:Y15"/>
    <mergeCell ref="Z13:AG13"/>
    <mergeCell ref="AH13:AQ13"/>
    <mergeCell ref="AR13:AS13"/>
    <mergeCell ref="AJ14:AK14"/>
    <mergeCell ref="AL14:AM14"/>
    <mergeCell ref="AN14:AO14"/>
    <mergeCell ref="AP14:AQ14"/>
    <mergeCell ref="A10:E10"/>
    <mergeCell ref="F10:R10"/>
    <mergeCell ref="F11:R11"/>
    <mergeCell ref="A13:A15"/>
    <mergeCell ref="B13:K13"/>
    <mergeCell ref="L13:U13"/>
    <mergeCell ref="F9:R9"/>
    <mergeCell ref="S1:U1"/>
    <mergeCell ref="A2:S2"/>
    <mergeCell ref="F6:R6"/>
    <mergeCell ref="F7:R7"/>
    <mergeCell ref="F8:R8"/>
  </mergeCells>
  <pageMargins left="0.7" right="0.7" top="0.75" bottom="0.75" header="0.3" footer="0.3"/>
  <pageSetup paperSize="9" scale="39" orientation="portrait" r:id="rId1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2"/>
  <sheetViews>
    <sheetView view="pageBreakPreview" topLeftCell="C10" zoomScaleNormal="100" zoomScaleSheetLayoutView="100" workbookViewId="0">
      <selection activeCell="T24" sqref="T24"/>
    </sheetView>
  </sheetViews>
  <sheetFormatPr defaultColWidth="9.140625" defaultRowHeight="15.75"/>
  <cols>
    <col min="1" max="1" width="39.5703125" style="655" customWidth="1"/>
    <col min="2" max="2" width="11" style="655" customWidth="1"/>
    <col min="3" max="3" width="16.140625" style="117" customWidth="1"/>
    <col min="4" max="18" width="8.7109375" style="117" hidden="1" customWidth="1"/>
    <col min="19" max="19" width="8.42578125" style="117" customWidth="1"/>
    <col min="20" max="22" width="14.85546875" style="117" customWidth="1"/>
    <col min="23" max="23" width="17" style="117" customWidth="1"/>
    <col min="24" max="24" width="19.5703125" style="117" customWidth="1"/>
    <col min="25" max="25" width="17.85546875" style="117" customWidth="1"/>
    <col min="26" max="16384" width="9.140625" style="117"/>
  </cols>
  <sheetData>
    <row r="1" spans="1:25">
      <c r="A1" s="1600" t="s">
        <v>198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</row>
    <row r="2" spans="1:25">
      <c r="A2" s="1600" t="s">
        <v>1498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  <c r="Q2" s="1600"/>
      <c r="R2" s="1600"/>
      <c r="S2" s="1600"/>
      <c r="T2" s="1600"/>
      <c r="U2" s="1600"/>
      <c r="V2" s="1600"/>
      <c r="W2" s="1600"/>
      <c r="X2" s="1600"/>
      <c r="Y2" s="1600"/>
    </row>
    <row r="3" spans="1:25">
      <c r="A3" s="1600" t="s">
        <v>672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  <c r="X3" s="1600"/>
      <c r="Y3" s="1600"/>
    </row>
    <row r="4" spans="1:25">
      <c r="A4" s="1234"/>
      <c r="B4" s="1234"/>
      <c r="C4" s="1234"/>
      <c r="D4" s="1234"/>
      <c r="E4" s="1234"/>
      <c r="F4" s="1234"/>
      <c r="G4" s="1234"/>
      <c r="H4" s="1234"/>
      <c r="I4" s="1234"/>
      <c r="J4" s="1234"/>
      <c r="K4" s="1234"/>
      <c r="L4" s="1234"/>
      <c r="M4" s="1234"/>
      <c r="N4" s="1234"/>
      <c r="O4" s="1234"/>
      <c r="P4" s="1234"/>
      <c r="Q4" s="1234"/>
      <c r="R4" s="1234"/>
      <c r="S4" s="1234"/>
      <c r="T4" s="1234"/>
      <c r="U4" s="1234"/>
      <c r="V4" s="1234"/>
      <c r="W4" s="1234"/>
    </row>
    <row r="5" spans="1:25" s="434" customFormat="1" ht="141" customHeight="1">
      <c r="A5" s="672" t="s">
        <v>199</v>
      </c>
      <c r="B5" s="672" t="s">
        <v>200</v>
      </c>
      <c r="C5" s="1237" t="s">
        <v>201</v>
      </c>
      <c r="D5" s="671" t="s">
        <v>202</v>
      </c>
      <c r="E5" s="671" t="s">
        <v>203</v>
      </c>
      <c r="F5" s="671" t="s">
        <v>204</v>
      </c>
      <c r="G5" s="671" t="s">
        <v>205</v>
      </c>
      <c r="H5" s="671" t="s">
        <v>206</v>
      </c>
      <c r="I5" s="671" t="s">
        <v>207</v>
      </c>
      <c r="J5" s="671" t="s">
        <v>208</v>
      </c>
      <c r="K5" s="671" t="s">
        <v>209</v>
      </c>
      <c r="L5" s="671" t="s">
        <v>210</v>
      </c>
      <c r="M5" s="671" t="s">
        <v>211</v>
      </c>
      <c r="N5" s="671" t="s">
        <v>212</v>
      </c>
      <c r="O5" s="671" t="s">
        <v>213</v>
      </c>
      <c r="P5" s="671" t="s">
        <v>214</v>
      </c>
      <c r="Q5" s="671" t="s">
        <v>215</v>
      </c>
      <c r="R5" s="671" t="s">
        <v>216</v>
      </c>
      <c r="S5" s="672" t="s">
        <v>217</v>
      </c>
      <c r="T5" s="672" t="s">
        <v>218</v>
      </c>
      <c r="U5" s="672" t="s">
        <v>219</v>
      </c>
      <c r="V5" s="672" t="s">
        <v>220</v>
      </c>
      <c r="W5" s="671" t="s">
        <v>1283</v>
      </c>
      <c r="X5" s="671" t="s">
        <v>1496</v>
      </c>
      <c r="Y5" s="671" t="s">
        <v>1497</v>
      </c>
    </row>
    <row r="6" spans="1:25" s="658" customFormat="1">
      <c r="A6" s="657">
        <v>1</v>
      </c>
      <c r="B6" s="657">
        <v>2</v>
      </c>
      <c r="C6" s="1238">
        <v>3</v>
      </c>
      <c r="D6" s="657">
        <v>3</v>
      </c>
      <c r="E6" s="657">
        <v>4</v>
      </c>
      <c r="F6" s="657">
        <v>5</v>
      </c>
      <c r="G6" s="657">
        <v>6</v>
      </c>
      <c r="H6" s="657">
        <v>7</v>
      </c>
      <c r="I6" s="657">
        <v>8</v>
      </c>
      <c r="J6" s="657">
        <v>9</v>
      </c>
      <c r="K6" s="657">
        <v>10</v>
      </c>
      <c r="L6" s="657">
        <v>11</v>
      </c>
      <c r="M6" s="657">
        <v>12</v>
      </c>
      <c r="N6" s="657">
        <v>13</v>
      </c>
      <c r="O6" s="657">
        <v>14</v>
      </c>
      <c r="P6" s="657">
        <v>15</v>
      </c>
      <c r="Q6" s="657">
        <v>16</v>
      </c>
      <c r="R6" s="657">
        <v>17</v>
      </c>
      <c r="S6" s="657">
        <v>4</v>
      </c>
      <c r="T6" s="657">
        <v>5</v>
      </c>
      <c r="U6" s="657">
        <v>6</v>
      </c>
      <c r="V6" s="657">
        <v>7</v>
      </c>
      <c r="W6" s="657">
        <v>8</v>
      </c>
      <c r="X6" s="1097"/>
      <c r="Y6" s="1097"/>
    </row>
    <row r="7" spans="1:25">
      <c r="A7" s="659" t="s">
        <v>221</v>
      </c>
      <c r="B7" s="659"/>
      <c r="C7" s="1239" t="s">
        <v>222</v>
      </c>
      <c r="D7" s="659" t="s">
        <v>223</v>
      </c>
      <c r="E7" s="659" t="s">
        <v>223</v>
      </c>
      <c r="F7" s="659" t="s">
        <v>223</v>
      </c>
      <c r="G7" s="659" t="s">
        <v>223</v>
      </c>
      <c r="H7" s="659" t="s">
        <v>223</v>
      </c>
      <c r="I7" s="659" t="s">
        <v>223</v>
      </c>
      <c r="J7" s="659" t="s">
        <v>223</v>
      </c>
      <c r="K7" s="659" t="s">
        <v>223</v>
      </c>
      <c r="L7" s="659" t="s">
        <v>223</v>
      </c>
      <c r="M7" s="659" t="s">
        <v>223</v>
      </c>
      <c r="N7" s="659" t="s">
        <v>223</v>
      </c>
      <c r="O7" s="659" t="s">
        <v>223</v>
      </c>
      <c r="P7" s="659" t="s">
        <v>223</v>
      </c>
      <c r="Q7" s="659" t="s">
        <v>223</v>
      </c>
      <c r="R7" s="659" t="s">
        <v>223</v>
      </c>
      <c r="S7" s="659" t="s">
        <v>222</v>
      </c>
      <c r="T7" s="659" t="s">
        <v>222</v>
      </c>
      <c r="U7" s="659" t="s">
        <v>222</v>
      </c>
      <c r="V7" s="659" t="s">
        <v>223</v>
      </c>
      <c r="W7" s="659" t="s">
        <v>224</v>
      </c>
      <c r="X7" s="1096"/>
      <c r="Y7" s="1096"/>
    </row>
    <row r="8" spans="1:25">
      <c r="A8" s="660" t="s">
        <v>225</v>
      </c>
      <c r="B8" s="659">
        <v>1.9</v>
      </c>
      <c r="C8" s="1239">
        <v>2.09</v>
      </c>
      <c r="D8" s="661"/>
      <c r="E8" s="659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1">
        <v>2.2000000000000002</v>
      </c>
      <c r="T8" s="661">
        <v>1.1000000000000001</v>
      </c>
      <c r="U8" s="661">
        <v>1.2</v>
      </c>
      <c r="V8" s="661">
        <v>1</v>
      </c>
      <c r="W8" s="663">
        <f>B8*C8*S8*T8*U8*V8*3932/1000</f>
        <v>45.342974688000005</v>
      </c>
      <c r="X8" s="663">
        <f>B8*C8*S8*T8*U8*V8*4129/1000</f>
        <v>47.614736135999998</v>
      </c>
      <c r="Y8" s="663">
        <f>B8*C8*S8*T8*U8*V8*4335/1000</f>
        <v>49.990283640000001</v>
      </c>
    </row>
    <row r="9" spans="1:25" ht="29.25" customHeight="1">
      <c r="A9" s="660" t="s">
        <v>226</v>
      </c>
      <c r="B9" s="659">
        <v>1.9</v>
      </c>
      <c r="C9" s="1239">
        <v>3.26</v>
      </c>
      <c r="D9" s="661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662"/>
      <c r="S9" s="661">
        <v>2.2000000000000002</v>
      </c>
      <c r="T9" s="686">
        <v>1.1000000000000001</v>
      </c>
      <c r="U9" s="686">
        <v>1.2</v>
      </c>
      <c r="V9" s="686">
        <v>2</v>
      </c>
      <c r="W9" s="687">
        <f>B9*C9*S9*T9*U9*V9*3932/1000</f>
        <v>141.452724864</v>
      </c>
      <c r="X9" s="663">
        <f>B9*C9*S9*T9*U9*V9*4129/1000</f>
        <v>148.53975100800002</v>
      </c>
      <c r="Y9" s="663">
        <f>B9*C9*S9*T9*U9*V9*4335/1000</f>
        <v>155.95054992000001</v>
      </c>
    </row>
    <row r="10" spans="1:25">
      <c r="A10" s="660" t="s">
        <v>227</v>
      </c>
      <c r="B10" s="659"/>
      <c r="C10" s="1239"/>
      <c r="D10" s="661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1"/>
      <c r="T10" s="661"/>
      <c r="U10" s="661"/>
      <c r="V10" s="661"/>
      <c r="W10" s="663"/>
      <c r="X10" s="1096"/>
      <c r="Y10" s="1096"/>
    </row>
    <row r="11" spans="1:25" ht="31.5">
      <c r="A11" s="660" t="s">
        <v>228</v>
      </c>
      <c r="B11" s="659"/>
      <c r="C11" s="1239">
        <v>3.45</v>
      </c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1"/>
      <c r="T11" s="661"/>
      <c r="U11" s="661"/>
      <c r="V11" s="661"/>
      <c r="W11" s="663"/>
      <c r="X11" s="1096"/>
      <c r="Y11" s="1096"/>
    </row>
    <row r="12" spans="1:25">
      <c r="A12" s="660" t="s">
        <v>229</v>
      </c>
      <c r="B12" s="659"/>
      <c r="C12" s="1239">
        <v>3.98</v>
      </c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4"/>
      <c r="X12" s="1096"/>
      <c r="Y12" s="1096"/>
    </row>
    <row r="13" spans="1:25">
      <c r="A13" s="660" t="s">
        <v>230</v>
      </c>
      <c r="B13" s="659"/>
      <c r="C13" s="1239">
        <v>2.33</v>
      </c>
      <c r="D13" s="662"/>
      <c r="E13" s="662"/>
      <c r="F13" s="662"/>
      <c r="G13" s="662"/>
      <c r="H13" s="662"/>
      <c r="I13" s="662"/>
      <c r="J13" s="662"/>
      <c r="K13" s="662"/>
      <c r="L13" s="662"/>
      <c r="M13" s="662"/>
      <c r="N13" s="662"/>
      <c r="O13" s="662"/>
      <c r="P13" s="662"/>
      <c r="Q13" s="662"/>
      <c r="R13" s="662"/>
      <c r="S13" s="662"/>
      <c r="T13" s="662"/>
      <c r="U13" s="662"/>
      <c r="V13" s="662"/>
      <c r="W13" s="664"/>
      <c r="X13" s="1096"/>
      <c r="Y13" s="1096"/>
    </row>
    <row r="14" spans="1:25">
      <c r="A14" s="660" t="s">
        <v>231</v>
      </c>
      <c r="B14" s="659"/>
      <c r="C14" s="1239">
        <v>1</v>
      </c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2"/>
      <c r="S14" s="662"/>
      <c r="T14" s="662"/>
      <c r="U14" s="662"/>
      <c r="V14" s="662"/>
      <c r="W14" s="664"/>
      <c r="X14" s="1096"/>
      <c r="Y14" s="1096"/>
    </row>
    <row r="15" spans="1:25" ht="25.5" customHeight="1">
      <c r="A15" s="660" t="s">
        <v>232</v>
      </c>
      <c r="B15" s="659">
        <v>1.9</v>
      </c>
      <c r="C15" s="1239">
        <v>1</v>
      </c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1">
        <v>2.2000000000000002</v>
      </c>
      <c r="T15" s="661">
        <v>1.1000000000000001</v>
      </c>
      <c r="U15" s="661">
        <v>1.2</v>
      </c>
      <c r="V15" s="661"/>
      <c r="W15" s="663">
        <f>B15*C15*S15*T15*U15*V15*3323/1000</f>
        <v>0</v>
      </c>
      <c r="X15" s="1098"/>
      <c r="Y15" s="1096"/>
    </row>
    <row r="16" spans="1:25">
      <c r="A16" s="665" t="s">
        <v>233</v>
      </c>
      <c r="B16" s="656"/>
      <c r="C16" s="1240" t="s">
        <v>234</v>
      </c>
      <c r="D16" s="661"/>
      <c r="E16" s="661"/>
      <c r="F16" s="661"/>
      <c r="G16" s="661"/>
      <c r="H16" s="661"/>
      <c r="I16" s="661"/>
      <c r="J16" s="661"/>
      <c r="K16" s="661"/>
      <c r="L16" s="661"/>
      <c r="M16" s="661"/>
      <c r="N16" s="661"/>
      <c r="O16" s="661"/>
      <c r="P16" s="661"/>
      <c r="Q16" s="661"/>
      <c r="R16" s="661"/>
      <c r="S16" s="661"/>
      <c r="T16" s="661"/>
      <c r="U16" s="661"/>
      <c r="V16" s="666">
        <f>SUM(V8:V15)</f>
        <v>3</v>
      </c>
      <c r="W16" s="709">
        <v>187</v>
      </c>
      <c r="X16" s="1283">
        <f>X8+X9</f>
        <v>196.15448714400003</v>
      </c>
      <c r="Y16" s="1283">
        <v>206</v>
      </c>
    </row>
    <row r="17" spans="1:25" ht="33" customHeight="1">
      <c r="A17" s="1598" t="s">
        <v>235</v>
      </c>
      <c r="B17" s="1598"/>
      <c r="C17" s="1598"/>
      <c r="D17" s="1598"/>
      <c r="E17" s="1598"/>
      <c r="F17" s="1598"/>
      <c r="G17" s="1598"/>
      <c r="H17" s="1598"/>
      <c r="I17" s="1598"/>
      <c r="J17" s="1598"/>
      <c r="K17" s="1598"/>
      <c r="L17" s="1598"/>
      <c r="M17" s="1598"/>
      <c r="N17" s="1598"/>
      <c r="O17" s="1598"/>
      <c r="P17" s="1598"/>
      <c r="Q17" s="1598"/>
      <c r="R17" s="1598"/>
      <c r="S17" s="1598"/>
      <c r="T17" s="1598"/>
      <c r="U17" s="1598"/>
      <c r="V17" s="1598"/>
      <c r="W17" s="667"/>
      <c r="X17" s="1072"/>
      <c r="Y17" s="1072"/>
    </row>
    <row r="18" spans="1:25">
      <c r="A18" s="668"/>
      <c r="B18" s="668"/>
      <c r="K18" s="669"/>
    </row>
    <row r="19" spans="1:25">
      <c r="A19" s="117"/>
      <c r="B19" s="117"/>
    </row>
    <row r="20" spans="1:25" ht="12.75" hidden="1" customHeight="1">
      <c r="A20" s="117"/>
      <c r="B20" s="117"/>
    </row>
    <row r="21" spans="1:25" hidden="1">
      <c r="A21" s="117"/>
      <c r="B21" s="117"/>
      <c r="E21" s="670"/>
    </row>
    <row r="22" spans="1:25" ht="12.75" hidden="1" customHeight="1">
      <c r="A22" s="117"/>
      <c r="B22" s="117"/>
    </row>
    <row r="23" spans="1:25" ht="12.75" hidden="1" customHeight="1">
      <c r="A23" s="117"/>
      <c r="B23" s="117"/>
    </row>
    <row r="24" spans="1:25" ht="15.7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5">
      <c r="A25" s="117"/>
      <c r="B25" s="11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5">
      <c r="A26" s="674" t="s">
        <v>640</v>
      </c>
      <c r="B26" s="674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V26" s="674" t="s">
        <v>1167</v>
      </c>
      <c r="W26" s="674"/>
    </row>
    <row r="27" spans="1:25">
      <c r="A27" s="674"/>
      <c r="B27" s="674"/>
      <c r="V27" s="674"/>
      <c r="W27" s="674"/>
    </row>
    <row r="28" spans="1:25">
      <c r="A28" s="674"/>
      <c r="B28" s="674"/>
      <c r="V28" s="674"/>
      <c r="W28" s="674"/>
    </row>
    <row r="29" spans="1:25">
      <c r="A29" s="674" t="s">
        <v>1166</v>
      </c>
      <c r="B29" s="673"/>
      <c r="V29" s="1599" t="s">
        <v>1168</v>
      </c>
      <c r="W29" s="1599"/>
    </row>
    <row r="30" spans="1:25" ht="18.75">
      <c r="A30" s="674"/>
      <c r="B30" s="674"/>
      <c r="C30" s="742"/>
      <c r="D30" s="674"/>
      <c r="V30" s="674"/>
    </row>
    <row r="31" spans="1:25" ht="18.75">
      <c r="A31" s="673"/>
      <c r="B31" s="673"/>
      <c r="C31" s="743"/>
      <c r="D31" s="673"/>
      <c r="V31" s="673"/>
    </row>
    <row r="32" spans="1:25" ht="18.75">
      <c r="A32" s="674"/>
      <c r="B32" s="673"/>
      <c r="C32" s="742"/>
      <c r="D32" s="674"/>
      <c r="V32" s="674"/>
    </row>
  </sheetData>
  <mergeCells count="5">
    <mergeCell ref="A17:V17"/>
    <mergeCell ref="V29:W29"/>
    <mergeCell ref="A1:Y1"/>
    <mergeCell ref="A2:Y2"/>
    <mergeCell ref="A3:Y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31</vt:i4>
      </vt:variant>
    </vt:vector>
  </HeadingPairs>
  <TitlesOfParts>
    <vt:vector size="65" baseType="lpstr">
      <vt:lpstr>Расчет 2023</vt:lpstr>
      <vt:lpstr>111 ФОТ 2023 147 ед.</vt:lpstr>
      <vt:lpstr>план 2026г РБ</vt:lpstr>
      <vt:lpstr>расчет2025</vt:lpstr>
      <vt:lpstr>расчет2026</vt:lpstr>
      <vt:lpstr>расчет2027</vt:lpstr>
      <vt:lpstr>Штат 350 % </vt:lpstr>
      <vt:lpstr>111</vt:lpstr>
      <vt:lpstr>123 трансп  </vt:lpstr>
      <vt:lpstr>123 пассаж</vt:lpstr>
      <vt:lpstr>142 медикаменты</vt:lpstr>
      <vt:lpstr>144 ГСМ </vt:lpstr>
      <vt:lpstr>149 экипировка 2023</vt:lpstr>
      <vt:lpstr>149 хоз.товар </vt:lpstr>
      <vt:lpstr>149 экипировка</vt:lpstr>
      <vt:lpstr>161 команд</vt:lpstr>
      <vt:lpstr>169 спортсм</vt:lpstr>
      <vt:lpstr>ФК 169 посл.вар. общий</vt:lpstr>
      <vt:lpstr>151 ком.услуги(2025)</vt:lpstr>
      <vt:lpstr>151 ком.услуги(2026)</vt:lpstr>
      <vt:lpstr>151 ком.услуги(2027)</vt:lpstr>
      <vt:lpstr>159 услуги </vt:lpstr>
      <vt:lpstr>страхжизни 192 ед.</vt:lpstr>
      <vt:lpstr>169 ТРЕНЕР2024</vt:lpstr>
      <vt:lpstr>169 СПОРТ2024</vt:lpstr>
      <vt:lpstr>169 налог транс</vt:lpstr>
      <vt:lpstr>169 эмиссия </vt:lpstr>
      <vt:lpstr>169 налог на имущ</vt:lpstr>
      <vt:lpstr>фин календарь 2025 тренера</vt:lpstr>
      <vt:lpstr>фин календарь 2025 спортсмены</vt:lpstr>
      <vt:lpstr>фин календарь 2026  тренера</vt:lpstr>
      <vt:lpstr>фин календарь 2026 спортсмены</vt:lpstr>
      <vt:lpstr>фин календарь 2027 тренера</vt:lpstr>
      <vt:lpstr>фин календарь 2027 спортсмены</vt:lpstr>
      <vt:lpstr>'111 ФОТ 2023 147 ед.'!Область_печати</vt:lpstr>
      <vt:lpstr>'123 пассаж'!Область_печати</vt:lpstr>
      <vt:lpstr>'123 трансп  '!Область_печати</vt:lpstr>
      <vt:lpstr>'142 медикаменты'!Область_печати</vt:lpstr>
      <vt:lpstr>'144 ГСМ '!Область_печати</vt:lpstr>
      <vt:lpstr>'149 хоз.товар '!Область_печати</vt:lpstr>
      <vt:lpstr>'149 экипировка'!Область_печати</vt:lpstr>
      <vt:lpstr>'149 экипировка 2023'!Область_печати</vt:lpstr>
      <vt:lpstr>'151 ком.услуги(2025)'!Область_печати</vt:lpstr>
      <vt:lpstr>'151 ком.услуги(2026)'!Область_печати</vt:lpstr>
      <vt:lpstr>'151 ком.услуги(2027)'!Область_печати</vt:lpstr>
      <vt:lpstr>'159 услуги '!Область_печати</vt:lpstr>
      <vt:lpstr>'161 команд'!Область_печати</vt:lpstr>
      <vt:lpstr>'169 налог на имущ'!Область_печати</vt:lpstr>
      <vt:lpstr>'169 налог транс'!Область_печати</vt:lpstr>
      <vt:lpstr>'169 СПОРТ2024'!Область_печати</vt:lpstr>
      <vt:lpstr>'169 спортсм'!Область_печати</vt:lpstr>
      <vt:lpstr>'169 ТРЕНЕР2024'!Область_печати</vt:lpstr>
      <vt:lpstr>'169 эмиссия '!Область_печати</vt:lpstr>
      <vt:lpstr>'Расчет 2023'!Область_печати</vt:lpstr>
      <vt:lpstr>расчет2025!Область_печати</vt:lpstr>
      <vt:lpstr>расчет2026!Область_печати</vt:lpstr>
      <vt:lpstr>расчет2027!Область_печати</vt:lpstr>
      <vt:lpstr>'страхжизни 192 ед.'!Область_печати</vt:lpstr>
      <vt:lpstr>'фин календарь 2025 спортсмены'!Область_печати</vt:lpstr>
      <vt:lpstr>'фин календарь 2025 тренера'!Область_печати</vt:lpstr>
      <vt:lpstr>'фин календарь 2026  тренера'!Область_печати</vt:lpstr>
      <vt:lpstr>'фин календарь 2026 спортсмены'!Область_печати</vt:lpstr>
      <vt:lpstr>'фин календарь 2027 спортсмены'!Область_печати</vt:lpstr>
      <vt:lpstr>'фин календарь 2027 тренера'!Область_печати</vt:lpstr>
      <vt:lpstr>'ФК 169 посл.вар. общий'!Область_печати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Smagulova</dc:creator>
  <cp:lastModifiedBy>Маржан Амирхановна</cp:lastModifiedBy>
  <cp:lastPrinted>2026-01-13T05:54:33Z</cp:lastPrinted>
  <dcterms:created xsi:type="dcterms:W3CDTF">2022-09-21T09:37:19Z</dcterms:created>
  <dcterms:modified xsi:type="dcterms:W3CDTF">2026-01-26T05:53:03Z</dcterms:modified>
</cp:coreProperties>
</file>